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updateLinks="never"/>
  <mc:AlternateContent xmlns:mc="http://schemas.openxmlformats.org/markup-compatibility/2006">
    <mc:Choice Requires="x15">
      <x15ac:absPath xmlns:x15ac="http://schemas.microsoft.com/office/spreadsheetml/2010/11/ac" url="https://szczecinskifundusz-my.sharepoint.com/personal/k_nowak_szczecinskifundusz_onmicrosoft_com/Documents/Obrazy/Pulpit/Mirror chmura/aktualne szablony do analizy/"/>
    </mc:Choice>
  </mc:AlternateContent>
  <xr:revisionPtr revIDLastSave="9" documentId="8_{C9928C66-D7D0-42B0-99A4-E47FED8240F3}" xr6:coauthVersionLast="47" xr6:coauthVersionMax="47" xr10:uidLastSave="{5DA9D522-2FF9-48BA-974F-186ACCE6E99B}"/>
  <workbookProtection workbookAlgorithmName="SHA-512" workbookHashValue="BtIuDfRXECEReC8VCKk+kBer/4W0D3OvmhIWSFcN+eME3dhVszCSuTzX8mSuVaUCuSCt17S0kSgyxE0n4Co5tQ==" workbookSaltValue="WzGaio2KkspUGPXHCtYcUg==" workbookSpinCount="100000" lockStructure="1"/>
  <bookViews>
    <workbookView xWindow="28680" yWindow="-120" windowWidth="29040" windowHeight="15720" tabRatio="764" xr2:uid="{00000000-000D-0000-FFFF-FFFF00000000}"/>
  </bookViews>
  <sheets>
    <sheet name="załącznik nr 1 dla KPiR" sheetId="16" r:id="rId1"/>
    <sheet name="KPIR" sheetId="9" state="hidden" r:id="rId2"/>
    <sheet name="bilans" sheetId="10" state="hidden" r:id="rId3"/>
    <sheet name="Parametry nakładów i pożyczki" sheetId="8" state="hidden" r:id="rId4"/>
    <sheet name="plan sprzedaży i zakupów " sheetId="1" state="hidden" r:id="rId5"/>
    <sheet name="plan kosztów eksploatacyjnych" sheetId="2" state="hidden" r:id="rId6"/>
    <sheet name="przepływy" sheetId="11" state="hidden" r:id="rId7"/>
    <sheet name="wskaźniki" sheetId="12" state="hidden" r:id="rId8"/>
    <sheet name="POŻYCZKA I" sheetId="13" state="hidden" r:id="rId9"/>
    <sheet name="POŻYCZKA II" sheetId="17" state="hidden" r:id="rId10"/>
  </sheets>
  <externalReferences>
    <externalReference r:id="rId11"/>
    <externalReference r:id="rId12"/>
  </externalReferences>
  <definedNames>
    <definedName name="_Hlk493790107" localSheetId="4">'plan sprzedaży i zakupów '!$A$38</definedName>
    <definedName name="_xlnm.Print_Area" localSheetId="2">bilans!$A$1:$M$141</definedName>
    <definedName name="_xlnm.Print_Area" localSheetId="1">KPIR!$A$1:$Q$66</definedName>
    <definedName name="_xlnm.Print_Area" localSheetId="3">'Parametry nakładów i pożyczki'!$A$1:$L$51</definedName>
    <definedName name="_xlnm.Print_Area" localSheetId="5">'plan kosztów eksploatacyjnych'!$A$1:$K$54</definedName>
    <definedName name="_xlnm.Print_Area" localSheetId="4">'plan sprzedaży i zakupów '!$A$1:$K$44</definedName>
    <definedName name="_xlnm.Print_Area" localSheetId="6">przepływy!$A$1:$L$50</definedName>
    <definedName name="_xlnm.Print_Area" localSheetId="0">'załącznik nr 1 dla KPiR'!$A$1:$E$85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9" l="1"/>
  <c r="H43" i="17"/>
  <c r="G39" i="17"/>
  <c r="F42" i="17"/>
  <c r="F43" i="17" s="1"/>
  <c r="K281" i="17"/>
  <c r="C281" i="17"/>
  <c r="K280" i="17"/>
  <c r="C280" i="17"/>
  <c r="K279" i="17"/>
  <c r="C279" i="17"/>
  <c r="K278" i="17"/>
  <c r="C278" i="17"/>
  <c r="K277" i="17"/>
  <c r="C277" i="17"/>
  <c r="K276" i="17"/>
  <c r="C276" i="17"/>
  <c r="K275" i="17"/>
  <c r="C275" i="17"/>
  <c r="K274" i="17"/>
  <c r="C274" i="17"/>
  <c r="K273" i="17"/>
  <c r="C273" i="17"/>
  <c r="K272" i="17"/>
  <c r="C272" i="17"/>
  <c r="K271" i="17"/>
  <c r="C271" i="17"/>
  <c r="K270" i="17"/>
  <c r="C270" i="17"/>
  <c r="K269" i="17"/>
  <c r="C269" i="17"/>
  <c r="K268" i="17"/>
  <c r="C268" i="17"/>
  <c r="K267" i="17"/>
  <c r="C267" i="17"/>
  <c r="K266" i="17"/>
  <c r="C266" i="17"/>
  <c r="K265" i="17"/>
  <c r="C265" i="17"/>
  <c r="K264" i="17"/>
  <c r="C264" i="17"/>
  <c r="K263" i="17"/>
  <c r="C263" i="17"/>
  <c r="K262" i="17"/>
  <c r="C262" i="17"/>
  <c r="K261" i="17"/>
  <c r="C261" i="17"/>
  <c r="K260" i="17"/>
  <c r="C260" i="17"/>
  <c r="K259" i="17"/>
  <c r="C259" i="17"/>
  <c r="K258" i="17"/>
  <c r="C258" i="17"/>
  <c r="K257" i="17"/>
  <c r="C257" i="17"/>
  <c r="K256" i="17"/>
  <c r="C256" i="17"/>
  <c r="K255" i="17"/>
  <c r="C255" i="17"/>
  <c r="K254" i="17"/>
  <c r="C254" i="17"/>
  <c r="K253" i="17"/>
  <c r="C253" i="17"/>
  <c r="K252" i="17"/>
  <c r="C252" i="17"/>
  <c r="K251" i="17"/>
  <c r="C251" i="17"/>
  <c r="K250" i="17"/>
  <c r="C250" i="17"/>
  <c r="K249" i="17"/>
  <c r="C249" i="17"/>
  <c r="K248" i="17"/>
  <c r="C248" i="17"/>
  <c r="K247" i="17"/>
  <c r="C247" i="17"/>
  <c r="K246" i="17"/>
  <c r="C246" i="17"/>
  <c r="K245" i="17"/>
  <c r="C245" i="17"/>
  <c r="K244" i="17"/>
  <c r="C244" i="17"/>
  <c r="K243" i="17"/>
  <c r="C243" i="17"/>
  <c r="K242" i="17"/>
  <c r="C242" i="17"/>
  <c r="K241" i="17"/>
  <c r="C241" i="17"/>
  <c r="K240" i="17"/>
  <c r="C240" i="17"/>
  <c r="K239" i="17"/>
  <c r="C239" i="17"/>
  <c r="K238" i="17"/>
  <c r="C238" i="17"/>
  <c r="K237" i="17"/>
  <c r="C237" i="17"/>
  <c r="K236" i="17"/>
  <c r="C236" i="17"/>
  <c r="K235" i="17"/>
  <c r="C235" i="17"/>
  <c r="K234" i="17"/>
  <c r="C234" i="17"/>
  <c r="K233" i="17"/>
  <c r="C233" i="17"/>
  <c r="K232" i="17"/>
  <c r="C232" i="17"/>
  <c r="K231" i="17"/>
  <c r="C231" i="17"/>
  <c r="K230" i="17"/>
  <c r="C230" i="17"/>
  <c r="K229" i="17"/>
  <c r="C229" i="17"/>
  <c r="K228" i="17"/>
  <c r="C228" i="17"/>
  <c r="K227" i="17"/>
  <c r="C227" i="17"/>
  <c r="K226" i="17"/>
  <c r="C226" i="17"/>
  <c r="K225" i="17"/>
  <c r="C225" i="17"/>
  <c r="K224" i="17"/>
  <c r="C224" i="17"/>
  <c r="K223" i="17"/>
  <c r="C223" i="17"/>
  <c r="K222" i="17"/>
  <c r="C222" i="17"/>
  <c r="K221" i="17"/>
  <c r="C221" i="17"/>
  <c r="K220" i="17"/>
  <c r="C220" i="17"/>
  <c r="K219" i="17"/>
  <c r="C219" i="17"/>
  <c r="K218" i="17"/>
  <c r="C218" i="17"/>
  <c r="K217" i="17"/>
  <c r="C217" i="17"/>
  <c r="K216" i="17"/>
  <c r="C216" i="17"/>
  <c r="K215" i="17"/>
  <c r="C215" i="17"/>
  <c r="K214" i="17"/>
  <c r="C214" i="17"/>
  <c r="K213" i="17"/>
  <c r="C213" i="17"/>
  <c r="K212" i="17"/>
  <c r="C212" i="17"/>
  <c r="K211" i="17"/>
  <c r="C211" i="17"/>
  <c r="K210" i="17"/>
  <c r="C210" i="17"/>
  <c r="K209" i="17"/>
  <c r="C209" i="17"/>
  <c r="K208" i="17"/>
  <c r="C208" i="17"/>
  <c r="K207" i="17"/>
  <c r="C207" i="17"/>
  <c r="K206" i="17"/>
  <c r="C206" i="17"/>
  <c r="K205" i="17"/>
  <c r="C205" i="17"/>
  <c r="K204" i="17"/>
  <c r="C204" i="17"/>
  <c r="K203" i="17"/>
  <c r="C203" i="17"/>
  <c r="K202" i="17"/>
  <c r="C202" i="17"/>
  <c r="K201" i="17"/>
  <c r="C201" i="17"/>
  <c r="K200" i="17"/>
  <c r="C200" i="17"/>
  <c r="K199" i="17"/>
  <c r="C199" i="17"/>
  <c r="K198" i="17"/>
  <c r="C198" i="17"/>
  <c r="K197" i="17"/>
  <c r="C197" i="17"/>
  <c r="K196" i="17"/>
  <c r="C196" i="17"/>
  <c r="K195" i="17"/>
  <c r="C195" i="17"/>
  <c r="K194" i="17"/>
  <c r="C194" i="17"/>
  <c r="K193" i="17"/>
  <c r="C193" i="17"/>
  <c r="K192" i="17"/>
  <c r="C192" i="17"/>
  <c r="K191" i="17"/>
  <c r="C191" i="17"/>
  <c r="K190" i="17"/>
  <c r="C190" i="17"/>
  <c r="K189" i="17"/>
  <c r="C189" i="17"/>
  <c r="K188" i="17"/>
  <c r="C188" i="17"/>
  <c r="K187" i="17"/>
  <c r="C187" i="17"/>
  <c r="K186" i="17"/>
  <c r="C186" i="17"/>
  <c r="K185" i="17"/>
  <c r="C185" i="17"/>
  <c r="K184" i="17"/>
  <c r="C184" i="17"/>
  <c r="K183" i="17"/>
  <c r="C183" i="17"/>
  <c r="K182" i="17"/>
  <c r="C182" i="17"/>
  <c r="K181" i="17"/>
  <c r="C181" i="17"/>
  <c r="K180" i="17"/>
  <c r="C180" i="17"/>
  <c r="K179" i="17"/>
  <c r="C179" i="17"/>
  <c r="K178" i="17"/>
  <c r="C178" i="17"/>
  <c r="K177" i="17"/>
  <c r="C177" i="17"/>
  <c r="K176" i="17"/>
  <c r="C176" i="17"/>
  <c r="K175" i="17"/>
  <c r="C175" i="17"/>
  <c r="K174" i="17"/>
  <c r="C174" i="17"/>
  <c r="K173" i="17"/>
  <c r="C173" i="17"/>
  <c r="K172" i="17"/>
  <c r="C172" i="17"/>
  <c r="K171" i="17"/>
  <c r="C171" i="17"/>
  <c r="K170" i="17"/>
  <c r="C170" i="17"/>
  <c r="K169" i="17"/>
  <c r="C169" i="17"/>
  <c r="K168" i="17"/>
  <c r="C168" i="17"/>
  <c r="K167" i="17"/>
  <c r="C167" i="17"/>
  <c r="K166" i="17"/>
  <c r="C166" i="17"/>
  <c r="K165" i="17"/>
  <c r="C165" i="17"/>
  <c r="K164" i="17"/>
  <c r="C164" i="17"/>
  <c r="K163" i="17"/>
  <c r="C163" i="17"/>
  <c r="K162" i="17"/>
  <c r="C162" i="17"/>
  <c r="K161" i="17"/>
  <c r="C161" i="17"/>
  <c r="K160" i="17"/>
  <c r="C160" i="17"/>
  <c r="K159" i="17"/>
  <c r="C159" i="17"/>
  <c r="K158" i="17"/>
  <c r="C158" i="17"/>
  <c r="K157" i="17"/>
  <c r="C157" i="17"/>
  <c r="K156" i="17"/>
  <c r="C156" i="17"/>
  <c r="K155" i="17"/>
  <c r="C155" i="17"/>
  <c r="K154" i="17"/>
  <c r="C154" i="17"/>
  <c r="K153" i="17"/>
  <c r="C153" i="17"/>
  <c r="K152" i="17"/>
  <c r="C152" i="17"/>
  <c r="K151" i="17"/>
  <c r="C151" i="17"/>
  <c r="K150" i="17"/>
  <c r="C150" i="17"/>
  <c r="K149" i="17"/>
  <c r="C149" i="17"/>
  <c r="K148" i="17"/>
  <c r="C148" i="17"/>
  <c r="K147" i="17"/>
  <c r="C147" i="17"/>
  <c r="K146" i="17"/>
  <c r="C146" i="17"/>
  <c r="K145" i="17"/>
  <c r="C145" i="17"/>
  <c r="K144" i="17"/>
  <c r="C144" i="17"/>
  <c r="K143" i="17"/>
  <c r="C143" i="17"/>
  <c r="K142" i="17"/>
  <c r="C142" i="17"/>
  <c r="K141" i="17"/>
  <c r="C141" i="17"/>
  <c r="K140" i="17"/>
  <c r="C140" i="17"/>
  <c r="K139" i="17"/>
  <c r="C139" i="17"/>
  <c r="K138" i="17"/>
  <c r="C138" i="17"/>
  <c r="K137" i="17"/>
  <c r="C137" i="17"/>
  <c r="K136" i="17"/>
  <c r="C136" i="17"/>
  <c r="K135" i="17"/>
  <c r="C135" i="17"/>
  <c r="K134" i="17"/>
  <c r="C134" i="17"/>
  <c r="K133" i="17"/>
  <c r="C133" i="17"/>
  <c r="K132" i="17"/>
  <c r="C132" i="17"/>
  <c r="K131" i="17"/>
  <c r="C131" i="17"/>
  <c r="K130" i="17"/>
  <c r="C130" i="17"/>
  <c r="K129" i="17"/>
  <c r="C129" i="17"/>
  <c r="K128" i="17"/>
  <c r="C128" i="17"/>
  <c r="K127" i="17"/>
  <c r="C127" i="17"/>
  <c r="K126" i="17"/>
  <c r="C126" i="17"/>
  <c r="K125" i="17"/>
  <c r="C125" i="17"/>
  <c r="K124" i="17"/>
  <c r="C124" i="17"/>
  <c r="K123" i="17"/>
  <c r="C123" i="17"/>
  <c r="K122" i="17"/>
  <c r="C122" i="17"/>
  <c r="K121" i="17"/>
  <c r="C121" i="17"/>
  <c r="K120" i="17"/>
  <c r="C120" i="17"/>
  <c r="K119" i="17"/>
  <c r="C119" i="17"/>
  <c r="K118" i="17"/>
  <c r="C118" i="17"/>
  <c r="K117" i="17"/>
  <c r="C117" i="17"/>
  <c r="K116" i="17"/>
  <c r="C116" i="17"/>
  <c r="K115" i="17"/>
  <c r="C115" i="17"/>
  <c r="K114" i="17"/>
  <c r="C114" i="17"/>
  <c r="K113" i="17"/>
  <c r="C113" i="17"/>
  <c r="K112" i="17"/>
  <c r="C112" i="17"/>
  <c r="K111" i="17"/>
  <c r="C111" i="17"/>
  <c r="K110" i="17"/>
  <c r="C110" i="17"/>
  <c r="K109" i="17"/>
  <c r="C109" i="17"/>
  <c r="K108" i="17"/>
  <c r="C108" i="17"/>
  <c r="K107" i="17"/>
  <c r="C107" i="17"/>
  <c r="K106" i="17"/>
  <c r="C106" i="17"/>
  <c r="K105" i="17"/>
  <c r="C105" i="17"/>
  <c r="K104" i="17"/>
  <c r="C104" i="17"/>
  <c r="K103" i="17"/>
  <c r="C103" i="17"/>
  <c r="K102" i="17"/>
  <c r="C102" i="17"/>
  <c r="K101" i="17"/>
  <c r="C101" i="17"/>
  <c r="K100" i="17"/>
  <c r="C100" i="17"/>
  <c r="K99" i="17"/>
  <c r="C99" i="17"/>
  <c r="K98" i="17"/>
  <c r="C98" i="17"/>
  <c r="K97" i="17"/>
  <c r="C97" i="17"/>
  <c r="K96" i="17"/>
  <c r="C96" i="17"/>
  <c r="K95" i="17"/>
  <c r="C95" i="17"/>
  <c r="K94" i="17"/>
  <c r="C94" i="17"/>
  <c r="K93" i="17"/>
  <c r="C93" i="17"/>
  <c r="K92" i="17"/>
  <c r="C92" i="17"/>
  <c r="K91" i="17"/>
  <c r="C91" i="17"/>
  <c r="K90" i="17"/>
  <c r="C90" i="17"/>
  <c r="K89" i="17"/>
  <c r="C89" i="17"/>
  <c r="K88" i="17"/>
  <c r="C88" i="17"/>
  <c r="K87" i="17"/>
  <c r="C87" i="17"/>
  <c r="K86" i="17"/>
  <c r="C86" i="17"/>
  <c r="K85" i="17"/>
  <c r="C85" i="17"/>
  <c r="K84" i="17"/>
  <c r="C84" i="17"/>
  <c r="K83" i="17"/>
  <c r="C83" i="17"/>
  <c r="K82" i="17"/>
  <c r="C82" i="17"/>
  <c r="K81" i="17"/>
  <c r="C81" i="17"/>
  <c r="K80" i="17"/>
  <c r="C80" i="17"/>
  <c r="L79" i="17"/>
  <c r="K79" i="17"/>
  <c r="C79" i="17"/>
  <c r="K78" i="17"/>
  <c r="C78" i="17"/>
  <c r="K77" i="17"/>
  <c r="C77" i="17"/>
  <c r="K76" i="17"/>
  <c r="C76" i="17"/>
  <c r="K75" i="17"/>
  <c r="C75" i="17"/>
  <c r="K74" i="17"/>
  <c r="C74" i="17"/>
  <c r="K73" i="17"/>
  <c r="C73" i="17"/>
  <c r="K72" i="17"/>
  <c r="C72" i="17"/>
  <c r="K71" i="17"/>
  <c r="C71" i="17"/>
  <c r="K70" i="17"/>
  <c r="C70" i="17"/>
  <c r="K69" i="17"/>
  <c r="C69" i="17"/>
  <c r="K68" i="17"/>
  <c r="C68" i="17"/>
  <c r="L67" i="17"/>
  <c r="K67" i="17"/>
  <c r="C67" i="17"/>
  <c r="K66" i="17"/>
  <c r="C66" i="17"/>
  <c r="K65" i="17"/>
  <c r="C65" i="17"/>
  <c r="K64" i="17"/>
  <c r="C64" i="17"/>
  <c r="K63" i="17"/>
  <c r="C63" i="17"/>
  <c r="K62" i="17"/>
  <c r="C62" i="17"/>
  <c r="K61" i="17"/>
  <c r="C61" i="17"/>
  <c r="K60" i="17"/>
  <c r="C60" i="17"/>
  <c r="K59" i="17"/>
  <c r="C59" i="17"/>
  <c r="K58" i="17"/>
  <c r="C58" i="17"/>
  <c r="K57" i="17"/>
  <c r="C57" i="17"/>
  <c r="K56" i="17"/>
  <c r="C56" i="17"/>
  <c r="L55" i="17"/>
  <c r="K55" i="17"/>
  <c r="C55" i="17"/>
  <c r="K54" i="17"/>
  <c r="C54" i="17"/>
  <c r="K53" i="17"/>
  <c r="C53" i="17"/>
  <c r="K52" i="17"/>
  <c r="C52" i="17"/>
  <c r="K51" i="17"/>
  <c r="C51" i="17"/>
  <c r="K50" i="17"/>
  <c r="C50" i="17"/>
  <c r="K49" i="17"/>
  <c r="C49" i="17"/>
  <c r="K48" i="17"/>
  <c r="C48" i="17"/>
  <c r="K47" i="17"/>
  <c r="C47" i="17"/>
  <c r="K46" i="17"/>
  <c r="C46" i="17"/>
  <c r="K45" i="17"/>
  <c r="C45" i="17"/>
  <c r="K44" i="17"/>
  <c r="I43" i="17" s="1"/>
  <c r="C44" i="17"/>
  <c r="K43" i="17"/>
  <c r="H225" i="17"/>
  <c r="C43" i="17"/>
  <c r="K42" i="17"/>
  <c r="A39" i="17"/>
  <c r="E10" i="17"/>
  <c r="E9" i="17"/>
  <c r="E12" i="17" s="1"/>
  <c r="E8" i="17"/>
  <c r="H43" i="13"/>
  <c r="G39" i="13"/>
  <c r="F42" i="13"/>
  <c r="C14" i="16"/>
  <c r="D14" i="16" s="1"/>
  <c r="D14" i="9"/>
  <c r="B30" i="12"/>
  <c r="D31" i="11" l="1"/>
  <c r="D25" i="11"/>
  <c r="D34" i="11"/>
  <c r="E31" i="11"/>
  <c r="F44" i="17"/>
  <c r="G11" i="17"/>
  <c r="N11" i="17"/>
  <c r="F11" i="17"/>
  <c r="E11" i="17"/>
  <c r="H45" i="17"/>
  <c r="H11" i="17"/>
  <c r="I12" i="17"/>
  <c r="H79" i="17"/>
  <c r="H109" i="17"/>
  <c r="H136" i="17"/>
  <c r="H156" i="17"/>
  <c r="H201" i="17"/>
  <c r="J11" i="17"/>
  <c r="H47" i="17"/>
  <c r="H54" i="17"/>
  <c r="H56" i="17"/>
  <c r="H71" i="17"/>
  <c r="H91" i="17"/>
  <c r="H97" i="17"/>
  <c r="H159" i="17"/>
  <c r="H186" i="17"/>
  <c r="H217" i="17"/>
  <c r="H255" i="17"/>
  <c r="K11" i="17"/>
  <c r="H44" i="17"/>
  <c r="E44" i="17" s="1"/>
  <c r="G44" i="17" s="1"/>
  <c r="H53" i="17"/>
  <c r="L91" i="17"/>
  <c r="H83" i="17"/>
  <c r="H129" i="17"/>
  <c r="H142" i="17"/>
  <c r="H208" i="17"/>
  <c r="H66" i="17"/>
  <c r="H199" i="17"/>
  <c r="H169" i="17"/>
  <c r="F12" i="17"/>
  <c r="H61" i="17"/>
  <c r="H72" i="17"/>
  <c r="H90" i="17"/>
  <c r="H100" i="17"/>
  <c r="H105" i="17"/>
  <c r="H172" i="17"/>
  <c r="H175" i="17"/>
  <c r="H197" i="17"/>
  <c r="M11" i="17"/>
  <c r="H86" i="17"/>
  <c r="H48" i="17"/>
  <c r="H58" i="17"/>
  <c r="H65" i="17"/>
  <c r="H82" i="17"/>
  <c r="H133" i="17"/>
  <c r="H146" i="17"/>
  <c r="H167" i="17"/>
  <c r="H59" i="17"/>
  <c r="H93" i="17"/>
  <c r="H177" i="17"/>
  <c r="H229" i="17"/>
  <c r="G12" i="17"/>
  <c r="H55" i="17"/>
  <c r="H94" i="17"/>
  <c r="H161" i="17"/>
  <c r="H276" i="17"/>
  <c r="H267" i="17"/>
  <c r="H259" i="17"/>
  <c r="H258" i="17"/>
  <c r="H250" i="17"/>
  <c r="H277" i="17"/>
  <c r="H268" i="17"/>
  <c r="H260" i="17"/>
  <c r="H251" i="17"/>
  <c r="H278" i="17"/>
  <c r="H269" i="17"/>
  <c r="H261" i="17"/>
  <c r="H252" i="17"/>
  <c r="H279" i="17"/>
  <c r="H271" i="17"/>
  <c r="H270" i="17"/>
  <c r="H262" i="17"/>
  <c r="H253" i="17"/>
  <c r="H244" i="17"/>
  <c r="H236" i="17"/>
  <c r="H227" i="17"/>
  <c r="H280" i="17"/>
  <c r="H272" i="17"/>
  <c r="H263" i="17"/>
  <c r="H254" i="17"/>
  <c r="H245" i="17"/>
  <c r="H237" i="17"/>
  <c r="H228" i="17"/>
  <c r="H219" i="17"/>
  <c r="H211" i="17"/>
  <c r="H210" i="17"/>
  <c r="H202" i="17"/>
  <c r="H193" i="17"/>
  <c r="H184" i="17"/>
  <c r="H275" i="17"/>
  <c r="H266" i="17"/>
  <c r="H257" i="17"/>
  <c r="H249" i="17"/>
  <c r="H240" i="17"/>
  <c r="H231" i="17"/>
  <c r="H223" i="17"/>
  <c r="H222" i="17"/>
  <c r="H214" i="17"/>
  <c r="H205" i="17"/>
  <c r="H196" i="17"/>
  <c r="H188" i="17"/>
  <c r="H179" i="17"/>
  <c r="H170" i="17"/>
  <c r="H157" i="17"/>
  <c r="H274" i="17"/>
  <c r="H247" i="17"/>
  <c r="H234" i="17"/>
  <c r="H216" i="17"/>
  <c r="H212" i="17"/>
  <c r="H198" i="17"/>
  <c r="H194" i="17"/>
  <c r="H191" i="17"/>
  <c r="H187" i="17"/>
  <c r="H180" i="17"/>
  <c r="H176" i="17"/>
  <c r="H166" i="17"/>
  <c r="H162" i="17"/>
  <c r="H143" i="17"/>
  <c r="H138" i="17"/>
  <c r="H130" i="17"/>
  <c r="H127" i="17"/>
  <c r="H125" i="17"/>
  <c r="H117" i="17"/>
  <c r="H112" i="17"/>
  <c r="H104" i="17"/>
  <c r="H281" i="17"/>
  <c r="H264" i="17"/>
  <c r="H243" i="17"/>
  <c r="H226" i="17"/>
  <c r="H209" i="17"/>
  <c r="H171" i="17"/>
  <c r="H153" i="17"/>
  <c r="H151" i="17"/>
  <c r="H150" i="17"/>
  <c r="H273" i="17"/>
  <c r="H246" i="17"/>
  <c r="H230" i="17"/>
  <c r="H221" i="17"/>
  <c r="H207" i="17"/>
  <c r="H203" i="17"/>
  <c r="H200" i="17"/>
  <c r="H189" i="17"/>
  <c r="H185" i="17"/>
  <c r="H182" i="17"/>
  <c r="H178" i="17"/>
  <c r="H168" i="17"/>
  <c r="H160" i="17"/>
  <c r="H147" i="17"/>
  <c r="H134" i="17"/>
  <c r="H121" i="17"/>
  <c r="H108" i="17"/>
  <c r="H265" i="17"/>
  <c r="H213" i="17"/>
  <c r="H204" i="17"/>
  <c r="H173" i="17"/>
  <c r="H152" i="17"/>
  <c r="H149" i="17"/>
  <c r="H122" i="17"/>
  <c r="H110" i="17"/>
  <c r="H101" i="17"/>
  <c r="H96" i="17"/>
  <c r="H85" i="17"/>
  <c r="H74" i="17"/>
  <c r="H63" i="17"/>
  <c r="H52" i="17"/>
  <c r="H46" i="17"/>
  <c r="H119" i="17"/>
  <c r="H107" i="17"/>
  <c r="H256" i="17"/>
  <c r="H239" i="17"/>
  <c r="H163" i="17"/>
  <c r="H155" i="17"/>
  <c r="H144" i="17"/>
  <c r="H139" i="17"/>
  <c r="H131" i="17"/>
  <c r="H123" i="17"/>
  <c r="H116" i="17"/>
  <c r="H115" i="17"/>
  <c r="H111" i="17"/>
  <c r="H103" i="17"/>
  <c r="H102" i="17"/>
  <c r="H98" i="17"/>
  <c r="H87" i="17"/>
  <c r="H76" i="17"/>
  <c r="H68" i="17"/>
  <c r="H241" i="17"/>
  <c r="H183" i="17"/>
  <c r="H181" i="17"/>
  <c r="H174" i="17"/>
  <c r="H141" i="17"/>
  <c r="H135" i="17"/>
  <c r="H128" i="17"/>
  <c r="H120" i="17"/>
  <c r="H88" i="17"/>
  <c r="H80" i="17"/>
  <c r="H77" i="17"/>
  <c r="H69" i="17"/>
  <c r="H248" i="17"/>
  <c r="H235" i="17"/>
  <c r="H233" i="17"/>
  <c r="H192" i="17"/>
  <c r="H190" i="17"/>
  <c r="H164" i="17"/>
  <c r="H158" i="17"/>
  <c r="H148" i="17"/>
  <c r="H145" i="17"/>
  <c r="H132" i="17"/>
  <c r="H124" i="17"/>
  <c r="H99" i="17"/>
  <c r="H92" i="17"/>
  <c r="H89" i="17"/>
  <c r="H81" i="17"/>
  <c r="H78" i="17"/>
  <c r="H70" i="17"/>
  <c r="H67" i="17"/>
  <c r="H242" i="17"/>
  <c r="H238" i="17"/>
  <c r="H215" i="17"/>
  <c r="H206" i="17"/>
  <c r="H195" i="17"/>
  <c r="H165" i="17"/>
  <c r="H154" i="17"/>
  <c r="H137" i="17"/>
  <c r="H118" i="17"/>
  <c r="H113" i="17"/>
  <c r="H106" i="17"/>
  <c r="H95" i="17"/>
  <c r="H84" i="17"/>
  <c r="H73" i="17"/>
  <c r="H62" i="17"/>
  <c r="H51" i="17"/>
  <c r="H232" i="17"/>
  <c r="H224" i="17"/>
  <c r="H220" i="17"/>
  <c r="H218" i="17"/>
  <c r="H140" i="17"/>
  <c r="H126" i="17"/>
  <c r="H114" i="17"/>
  <c r="H12" i="17"/>
  <c r="H57" i="17"/>
  <c r="L11" i="17"/>
  <c r="H49" i="17"/>
  <c r="E43" i="17"/>
  <c r="G43" i="17" s="1"/>
  <c r="H64" i="17"/>
  <c r="H75" i="17"/>
  <c r="I11" i="17"/>
  <c r="H50" i="17"/>
  <c r="H60" i="17"/>
  <c r="D6" i="9"/>
  <c r="C6" i="9" s="1"/>
  <c r="F6" i="9"/>
  <c r="B2" i="1"/>
  <c r="C2" i="1" s="1"/>
  <c r="D2" i="1" s="1"/>
  <c r="E2" i="1" s="1"/>
  <c r="B1" i="12"/>
  <c r="C1" i="12" s="1"/>
  <c r="D1" i="12" s="1"/>
  <c r="E1" i="12" s="1"/>
  <c r="B2" i="2"/>
  <c r="C2" i="2" s="1"/>
  <c r="D2" i="2" s="1"/>
  <c r="E2" i="2" s="1"/>
  <c r="C5" i="10"/>
  <c r="D5" i="10" s="1"/>
  <c r="E5" i="10" s="1"/>
  <c r="F5" i="10" s="1"/>
  <c r="C4" i="11"/>
  <c r="D4" i="11" s="1"/>
  <c r="E4" i="11" s="1"/>
  <c r="F4" i="11" s="1"/>
  <c r="G4" i="11" s="1"/>
  <c r="H4" i="11" s="1"/>
  <c r="I4" i="11" s="1"/>
  <c r="J4" i="11" s="1"/>
  <c r="K4" i="11" s="1"/>
  <c r="L4" i="11" s="1"/>
  <c r="M4" i="11" s="1"/>
  <c r="D9" i="9"/>
  <c r="L103" i="17" l="1"/>
  <c r="F45" i="17"/>
  <c r="E45" i="17"/>
  <c r="G45" i="17" s="1"/>
  <c r="D31" i="8"/>
  <c r="G6" i="9"/>
  <c r="E14" i="16"/>
  <c r="D107" i="10"/>
  <c r="D32" i="11"/>
  <c r="M15" i="10"/>
  <c r="M16" i="10"/>
  <c r="M17" i="10"/>
  <c r="M18" i="10"/>
  <c r="M14" i="10"/>
  <c r="M7" i="10"/>
  <c r="D26" i="1"/>
  <c r="E26" i="1"/>
  <c r="C26" i="1"/>
  <c r="C41" i="16"/>
  <c r="D17" i="1"/>
  <c r="E17" i="1"/>
  <c r="C17" i="1"/>
  <c r="C37" i="8"/>
  <c r="C36" i="8"/>
  <c r="C35" i="8"/>
  <c r="C34" i="8"/>
  <c r="C33" i="8"/>
  <c r="C32" i="8"/>
  <c r="C40" i="8"/>
  <c r="D17" i="9" s="1"/>
  <c r="D4" i="1"/>
  <c r="E4" i="1"/>
  <c r="D5" i="1"/>
  <c r="E5" i="1"/>
  <c r="C5" i="1"/>
  <c r="F4" i="1"/>
  <c r="G4" i="1"/>
  <c r="H4" i="1"/>
  <c r="I4" i="1"/>
  <c r="J4" i="1"/>
  <c r="K4" i="1"/>
  <c r="C4" i="1"/>
  <c r="E25" i="2"/>
  <c r="B26" i="1"/>
  <c r="D40" i="2"/>
  <c r="E40" i="2"/>
  <c r="C40" i="2"/>
  <c r="D29" i="2"/>
  <c r="E29" i="2"/>
  <c r="C29" i="2"/>
  <c r="D44" i="2"/>
  <c r="E44" i="2"/>
  <c r="C44" i="2"/>
  <c r="D43" i="2"/>
  <c r="E43" i="2"/>
  <c r="C43" i="2"/>
  <c r="D26" i="2"/>
  <c r="E26" i="2"/>
  <c r="F26" i="2"/>
  <c r="G26" i="2"/>
  <c r="H26" i="2"/>
  <c r="I26" i="2"/>
  <c r="J26" i="2"/>
  <c r="K26" i="2"/>
  <c r="C26" i="2"/>
  <c r="D25" i="2"/>
  <c r="C25" i="2"/>
  <c r="D24" i="2"/>
  <c r="E24" i="2"/>
  <c r="C24" i="2"/>
  <c r="D18" i="2"/>
  <c r="E18" i="2"/>
  <c r="C18" i="2"/>
  <c r="D17" i="2"/>
  <c r="E17" i="2"/>
  <c r="D16" i="2"/>
  <c r="E16" i="2"/>
  <c r="C16" i="2"/>
  <c r="C17" i="2"/>
  <c r="D15" i="2"/>
  <c r="E15" i="2"/>
  <c r="C15" i="2"/>
  <c r="D14" i="2"/>
  <c r="E14" i="2"/>
  <c r="C14" i="2"/>
  <c r="D12" i="2"/>
  <c r="E12" i="2"/>
  <c r="C12" i="2"/>
  <c r="D11" i="2"/>
  <c r="E11" i="2"/>
  <c r="C11" i="2"/>
  <c r="D10" i="2"/>
  <c r="E10" i="2"/>
  <c r="C10" i="2"/>
  <c r="D8" i="2"/>
  <c r="E8" i="2"/>
  <c r="C8" i="2"/>
  <c r="D7" i="2"/>
  <c r="E7" i="2"/>
  <c r="C7" i="2"/>
  <c r="D6" i="2"/>
  <c r="E6" i="2"/>
  <c r="C6" i="2"/>
  <c r="D45" i="2"/>
  <c r="E45" i="2"/>
  <c r="C45" i="2"/>
  <c r="D15" i="9"/>
  <c r="B21" i="16"/>
  <c r="B15" i="16"/>
  <c r="D41" i="16"/>
  <c r="E41" i="16"/>
  <c r="D16" i="9"/>
  <c r="F46" i="17" l="1"/>
  <c r="E46" i="17"/>
  <c r="L115" i="17"/>
  <c r="H6" i="9"/>
  <c r="F31" i="8" s="1"/>
  <c r="E31" i="8"/>
  <c r="M13" i="10"/>
  <c r="M12" i="10" s="1"/>
  <c r="E3" i="2"/>
  <c r="D23" i="2"/>
  <c r="C9" i="2"/>
  <c r="D3" i="2"/>
  <c r="E9" i="2"/>
  <c r="D9" i="2"/>
  <c r="C23" i="2"/>
  <c r="C42" i="2"/>
  <c r="E23" i="2"/>
  <c r="C3" i="2"/>
  <c r="B70" i="16"/>
  <c r="D70" i="16" s="1"/>
  <c r="C40" i="16"/>
  <c r="D40" i="16"/>
  <c r="E40" i="16"/>
  <c r="B40" i="16"/>
  <c r="E20" i="16"/>
  <c r="E26" i="16" s="1"/>
  <c r="D20" i="16"/>
  <c r="D26" i="16" s="1"/>
  <c r="C20" i="16"/>
  <c r="C26" i="16" s="1"/>
  <c r="B20" i="16"/>
  <c r="B26" i="16" s="1"/>
  <c r="D77" i="16"/>
  <c r="B77" i="16"/>
  <c r="C21" i="16"/>
  <c r="D21" i="16"/>
  <c r="E21" i="16"/>
  <c r="C15" i="16"/>
  <c r="D15" i="16"/>
  <c r="E15" i="16"/>
  <c r="C119" i="10"/>
  <c r="G46" i="17" l="1"/>
  <c r="J43" i="17"/>
  <c r="F47" i="17"/>
  <c r="E47" i="17"/>
  <c r="L127" i="17"/>
  <c r="K165" i="13"/>
  <c r="K166" i="13"/>
  <c r="K167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4" i="13"/>
  <c r="K215" i="13"/>
  <c r="K216" i="13"/>
  <c r="K217" i="13"/>
  <c r="K218" i="13"/>
  <c r="K219" i="13"/>
  <c r="K220" i="13"/>
  <c r="K221" i="13"/>
  <c r="K222" i="13"/>
  <c r="K223" i="13"/>
  <c r="K224" i="13"/>
  <c r="K225" i="13"/>
  <c r="K226" i="13"/>
  <c r="K227" i="13"/>
  <c r="K228" i="13"/>
  <c r="K229" i="13"/>
  <c r="K230" i="13"/>
  <c r="K231" i="13"/>
  <c r="K232" i="13"/>
  <c r="K233" i="13"/>
  <c r="K234" i="13"/>
  <c r="K235" i="13"/>
  <c r="K236" i="13"/>
  <c r="K237" i="13"/>
  <c r="K238" i="13"/>
  <c r="K239" i="13"/>
  <c r="K240" i="13"/>
  <c r="K241" i="13"/>
  <c r="K242" i="13"/>
  <c r="K243" i="13"/>
  <c r="K244" i="13"/>
  <c r="K245" i="13"/>
  <c r="K246" i="13"/>
  <c r="K247" i="13"/>
  <c r="K248" i="13"/>
  <c r="K249" i="13"/>
  <c r="K250" i="13"/>
  <c r="K251" i="13"/>
  <c r="K252" i="13"/>
  <c r="K253" i="13"/>
  <c r="K254" i="13"/>
  <c r="K255" i="13"/>
  <c r="K256" i="13"/>
  <c r="K257" i="13"/>
  <c r="K258" i="13"/>
  <c r="K259" i="13"/>
  <c r="K260" i="13"/>
  <c r="K261" i="13"/>
  <c r="K262" i="13"/>
  <c r="K263" i="13"/>
  <c r="K264" i="13"/>
  <c r="K265" i="13"/>
  <c r="K266" i="13"/>
  <c r="K267" i="13"/>
  <c r="K268" i="13"/>
  <c r="K269" i="13"/>
  <c r="K270" i="13"/>
  <c r="K271" i="13"/>
  <c r="K272" i="13"/>
  <c r="K273" i="13"/>
  <c r="K274" i="13"/>
  <c r="K275" i="13"/>
  <c r="K276" i="13"/>
  <c r="K277" i="13"/>
  <c r="K278" i="13"/>
  <c r="K279" i="13"/>
  <c r="K280" i="13"/>
  <c r="K281" i="13"/>
  <c r="K164" i="13"/>
  <c r="K162" i="13"/>
  <c r="K163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L139" i="17" l="1"/>
  <c r="G47" i="17"/>
  <c r="E48" i="17"/>
  <c r="G48" i="17" s="1"/>
  <c r="F48" i="17"/>
  <c r="L55" i="13"/>
  <c r="L67" i="13" s="1"/>
  <c r="L79" i="13" s="1"/>
  <c r="L91" i="13" s="1"/>
  <c r="L103" i="13" s="1"/>
  <c r="L115" i="13" s="1"/>
  <c r="L127" i="13" s="1"/>
  <c r="L139" i="13" s="1"/>
  <c r="L151" i="13" s="1"/>
  <c r="L162" i="13" s="1"/>
  <c r="L174" i="13" s="1"/>
  <c r="L186" i="13" s="1"/>
  <c r="L198" i="13" s="1"/>
  <c r="L210" i="13" s="1"/>
  <c r="L222" i="13" s="1"/>
  <c r="L234" i="13" s="1"/>
  <c r="L246" i="13" s="1"/>
  <c r="L258" i="13" s="1"/>
  <c r="L270" i="13" s="1"/>
  <c r="L282" i="13" s="1"/>
  <c r="E49" i="17" l="1"/>
  <c r="D49" i="17"/>
  <c r="L151" i="17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42" i="13"/>
  <c r="L162" i="17" l="1"/>
  <c r="G49" i="17"/>
  <c r="F49" i="17"/>
  <c r="G15" i="9"/>
  <c r="H15" i="9"/>
  <c r="I15" i="9"/>
  <c r="J15" i="9"/>
  <c r="K15" i="9"/>
  <c r="L15" i="9"/>
  <c r="M15" i="9"/>
  <c r="N15" i="9"/>
  <c r="F15" i="9"/>
  <c r="L174" i="17" l="1"/>
  <c r="L186" i="17" s="1"/>
  <c r="L198" i="17" s="1"/>
  <c r="L210" i="17" s="1"/>
  <c r="L222" i="17" s="1"/>
  <c r="L234" i="17" s="1"/>
  <c r="L246" i="17" s="1"/>
  <c r="L258" i="17" s="1"/>
  <c r="L270" i="17" s="1"/>
  <c r="L282" i="17" s="1"/>
  <c r="E50" i="17"/>
  <c r="D50" i="17"/>
  <c r="D13" i="9"/>
  <c r="G22" i="9"/>
  <c r="H22" i="9"/>
  <c r="F29" i="2"/>
  <c r="I22" i="9" s="1"/>
  <c r="G29" i="2"/>
  <c r="J22" i="9" s="1"/>
  <c r="H29" i="2"/>
  <c r="K22" i="9" s="1"/>
  <c r="I29" i="2"/>
  <c r="L22" i="9" s="1"/>
  <c r="J29" i="2"/>
  <c r="M22" i="9" s="1"/>
  <c r="K29" i="2"/>
  <c r="N22" i="9" s="1"/>
  <c r="F22" i="9"/>
  <c r="G50" i="17" l="1"/>
  <c r="F50" i="17"/>
  <c r="D48" i="9"/>
  <c r="D51" i="17" l="1"/>
  <c r="F51" i="17" s="1"/>
  <c r="E51" i="17"/>
  <c r="P18" i="12"/>
  <c r="D52" i="17" l="1"/>
  <c r="F52" i="17" s="1"/>
  <c r="E52" i="17"/>
  <c r="G51" i="17"/>
  <c r="M6" i="10"/>
  <c r="B6" i="10"/>
  <c r="D53" i="17" l="1"/>
  <c r="E53" i="17"/>
  <c r="G52" i="17"/>
  <c r="L119" i="10"/>
  <c r="G53" i="17" l="1"/>
  <c r="F53" i="17"/>
  <c r="J8" i="1"/>
  <c r="K8" i="1"/>
  <c r="I8" i="1"/>
  <c r="I15" i="1"/>
  <c r="J15" i="1"/>
  <c r="K15" i="1"/>
  <c r="B16" i="1"/>
  <c r="E54" i="17" l="1"/>
  <c r="D54" i="17"/>
  <c r="E8" i="9"/>
  <c r="E9" i="9"/>
  <c r="E10" i="9"/>
  <c r="E11" i="9"/>
  <c r="E12" i="9"/>
  <c r="E14" i="9"/>
  <c r="E15" i="9"/>
  <c r="E16" i="9"/>
  <c r="E17" i="9"/>
  <c r="E18" i="9"/>
  <c r="E19" i="9"/>
  <c r="E20" i="9"/>
  <c r="E21" i="9"/>
  <c r="E22" i="9"/>
  <c r="E23" i="9"/>
  <c r="E24" i="9"/>
  <c r="E25" i="9"/>
  <c r="E28" i="9"/>
  <c r="E29" i="9"/>
  <c r="E30" i="9"/>
  <c r="E32" i="9"/>
  <c r="E33" i="9"/>
  <c r="E34" i="9"/>
  <c r="E36" i="9"/>
  <c r="E37" i="9"/>
  <c r="E38" i="9"/>
  <c r="E39" i="9"/>
  <c r="E40" i="9"/>
  <c r="E41" i="9"/>
  <c r="E42" i="9"/>
  <c r="E43" i="9"/>
  <c r="E46" i="9"/>
  <c r="E47" i="9"/>
  <c r="E49" i="9"/>
  <c r="E50" i="9"/>
  <c r="E51" i="9"/>
  <c r="E54" i="9"/>
  <c r="E55" i="9"/>
  <c r="E57" i="9"/>
  <c r="E58" i="9"/>
  <c r="C53" i="9"/>
  <c r="C45" i="9"/>
  <c r="C27" i="9"/>
  <c r="C13" i="9"/>
  <c r="C7" i="9"/>
  <c r="G54" i="17" l="1"/>
  <c r="F54" i="17"/>
  <c r="C44" i="9"/>
  <c r="C26" i="9"/>
  <c r="D55" i="17" l="1"/>
  <c r="F55" i="17" s="1"/>
  <c r="E13" i="9"/>
  <c r="C35" i="9"/>
  <c r="C52" i="9" s="1"/>
  <c r="D56" i="17" l="1"/>
  <c r="E55" i="17"/>
  <c r="G55" i="17" s="1"/>
  <c r="C7" i="10"/>
  <c r="D92" i="10"/>
  <c r="E92" i="10" s="1"/>
  <c r="G29" i="9"/>
  <c r="H29" i="9"/>
  <c r="I29" i="9"/>
  <c r="J29" i="9"/>
  <c r="K29" i="9"/>
  <c r="L29" i="9"/>
  <c r="M29" i="9"/>
  <c r="N29" i="9"/>
  <c r="F29" i="9"/>
  <c r="E56" i="17" l="1"/>
  <c r="G56" i="17" s="1"/>
  <c r="F56" i="17"/>
  <c r="C56" i="9"/>
  <c r="F92" i="10"/>
  <c r="G92" i="10" s="1"/>
  <c r="H92" i="10" s="1"/>
  <c r="I92" i="10" s="1"/>
  <c r="J92" i="10" s="1"/>
  <c r="K92" i="10" s="1"/>
  <c r="L92" i="10" s="1"/>
  <c r="D57" i="17" l="1"/>
  <c r="F57" i="17" s="1"/>
  <c r="C59" i="9"/>
  <c r="B6" i="11"/>
  <c r="C42" i="11"/>
  <c r="E57" i="17" l="1"/>
  <c r="G57" i="17" s="1"/>
  <c r="D58" i="17"/>
  <c r="F58" i="17" s="1"/>
  <c r="S8" i="9"/>
  <c r="S9" i="9"/>
  <c r="S10" i="9"/>
  <c r="S11" i="9"/>
  <c r="S12" i="9"/>
  <c r="S14" i="9"/>
  <c r="C16" i="1" s="1"/>
  <c r="D16" i="1" s="1"/>
  <c r="E16" i="1" s="1"/>
  <c r="S15" i="9"/>
  <c r="S16" i="9"/>
  <c r="S17" i="9"/>
  <c r="S18" i="9"/>
  <c r="S19" i="9"/>
  <c r="S20" i="9"/>
  <c r="S21" i="9"/>
  <c r="S22" i="9"/>
  <c r="S23" i="9"/>
  <c r="S24" i="9"/>
  <c r="S25" i="9"/>
  <c r="S28" i="9"/>
  <c r="S29" i="9"/>
  <c r="S30" i="9"/>
  <c r="S32" i="9"/>
  <c r="S33" i="9"/>
  <c r="S34" i="9"/>
  <c r="S36" i="9"/>
  <c r="S37" i="9"/>
  <c r="S38" i="9"/>
  <c r="S39" i="9"/>
  <c r="S40" i="9"/>
  <c r="S41" i="9"/>
  <c r="S42" i="9"/>
  <c r="S43" i="9"/>
  <c r="S46" i="9"/>
  <c r="S47" i="9"/>
  <c r="S49" i="9"/>
  <c r="S50" i="9"/>
  <c r="S51" i="9"/>
  <c r="S54" i="9"/>
  <c r="S55" i="9"/>
  <c r="S58" i="9"/>
  <c r="M117" i="10"/>
  <c r="M116" i="10" s="1"/>
  <c r="M109" i="10" s="1"/>
  <c r="M105" i="10"/>
  <c r="M104" i="10" s="1"/>
  <c r="M102" i="10" s="1"/>
  <c r="M82" i="10"/>
  <c r="M42" i="10"/>
  <c r="Q53" i="9"/>
  <c r="Q31" i="9"/>
  <c r="Q27" i="9"/>
  <c r="Q13" i="9"/>
  <c r="Q7" i="9"/>
  <c r="D59" i="17" l="1"/>
  <c r="F59" i="17"/>
  <c r="E58" i="17"/>
  <c r="G58" i="17" s="1"/>
  <c r="C15" i="1"/>
  <c r="C8" i="1"/>
  <c r="S31" i="9"/>
  <c r="T58" i="9"/>
  <c r="T50" i="9"/>
  <c r="T46" i="9"/>
  <c r="T40" i="9"/>
  <c r="T36" i="9"/>
  <c r="T30" i="9"/>
  <c r="T24" i="9"/>
  <c r="T20" i="9"/>
  <c r="T16" i="9"/>
  <c r="T11" i="9"/>
  <c r="S7" i="9"/>
  <c r="T55" i="9"/>
  <c r="T49" i="9"/>
  <c r="T43" i="9"/>
  <c r="T39" i="9"/>
  <c r="T34" i="9"/>
  <c r="T29" i="9"/>
  <c r="T23" i="9"/>
  <c r="T19" i="9"/>
  <c r="T15" i="9"/>
  <c r="T10" i="9"/>
  <c r="S13" i="9"/>
  <c r="S53" i="9"/>
  <c r="T54" i="9"/>
  <c r="T42" i="9"/>
  <c r="T38" i="9"/>
  <c r="T33" i="9"/>
  <c r="T28" i="9"/>
  <c r="T22" i="9"/>
  <c r="T18" i="9"/>
  <c r="T14" i="9"/>
  <c r="T9" i="9"/>
  <c r="S27" i="9"/>
  <c r="T51" i="9"/>
  <c r="T47" i="9"/>
  <c r="T41" i="9"/>
  <c r="T37" i="9"/>
  <c r="T32" i="9"/>
  <c r="T25" i="9"/>
  <c r="T21" i="9"/>
  <c r="T17" i="9"/>
  <c r="T12" i="9"/>
  <c r="T8" i="9"/>
  <c r="M80" i="10"/>
  <c r="M93" i="10"/>
  <c r="Q26" i="9"/>
  <c r="C15" i="11"/>
  <c r="D60" i="17" l="1"/>
  <c r="E59" i="17"/>
  <c r="G59" i="17" s="1"/>
  <c r="D8" i="1"/>
  <c r="D15" i="1"/>
  <c r="T13" i="9"/>
  <c r="S26" i="9"/>
  <c r="Q35" i="9"/>
  <c r="Q52" i="9" s="1"/>
  <c r="E119" i="10"/>
  <c r="F119" i="10"/>
  <c r="G119" i="10"/>
  <c r="H119" i="10"/>
  <c r="I119" i="10"/>
  <c r="J119" i="10"/>
  <c r="K119" i="10"/>
  <c r="D119" i="10"/>
  <c r="E60" i="17" l="1"/>
  <c r="G60" i="17" s="1"/>
  <c r="F60" i="17"/>
  <c r="F16" i="1"/>
  <c r="E15" i="1"/>
  <c r="F9" i="1"/>
  <c r="E8" i="1"/>
  <c r="S35" i="9"/>
  <c r="E107" i="10"/>
  <c r="F107" i="10" s="1"/>
  <c r="G107" i="10" s="1"/>
  <c r="H107" i="10" s="1"/>
  <c r="I107" i="10" s="1"/>
  <c r="J107" i="10" s="1"/>
  <c r="K107" i="10" s="1"/>
  <c r="L107" i="10" s="1"/>
  <c r="D61" i="17" l="1"/>
  <c r="G9" i="1"/>
  <c r="F8" i="1"/>
  <c r="G16" i="1"/>
  <c r="F15" i="1"/>
  <c r="S52" i="9"/>
  <c r="Q56" i="9"/>
  <c r="E61" i="17" l="1"/>
  <c r="F61" i="17"/>
  <c r="H16" i="1"/>
  <c r="H15" i="1" s="1"/>
  <c r="G15" i="1"/>
  <c r="H9" i="1"/>
  <c r="H8" i="1" s="1"/>
  <c r="G8" i="1"/>
  <c r="S56" i="9"/>
  <c r="S57" i="9"/>
  <c r="F55" i="9"/>
  <c r="D62" i="17" l="1"/>
  <c r="F62" i="17" s="1"/>
  <c r="G61" i="17"/>
  <c r="G55" i="9"/>
  <c r="T57" i="9"/>
  <c r="Q59" i="9"/>
  <c r="B45" i="2"/>
  <c r="E62" i="17" l="1"/>
  <c r="G62" i="17" s="1"/>
  <c r="D63" i="17"/>
  <c r="H55" i="9"/>
  <c r="S59" i="9"/>
  <c r="M91" i="10"/>
  <c r="B40" i="2"/>
  <c r="F19" i="9"/>
  <c r="B27" i="9"/>
  <c r="E63" i="17" l="1"/>
  <c r="G63" i="17" s="1"/>
  <c r="F63" i="17"/>
  <c r="H40" i="2"/>
  <c r="K23" i="9" s="1"/>
  <c r="G23" i="9"/>
  <c r="I40" i="2"/>
  <c r="L23" i="9" s="1"/>
  <c r="K40" i="2"/>
  <c r="N23" i="9" s="1"/>
  <c r="G40" i="2"/>
  <c r="J23" i="9" s="1"/>
  <c r="F23" i="9"/>
  <c r="H23" i="9"/>
  <c r="J40" i="2"/>
  <c r="M23" i="9" s="1"/>
  <c r="F40" i="2"/>
  <c r="I23" i="9" s="1"/>
  <c r="I55" i="9"/>
  <c r="B29" i="1"/>
  <c r="D64" i="17" l="1"/>
  <c r="F64" i="17" s="1"/>
  <c r="J55" i="9"/>
  <c r="F36" i="9"/>
  <c r="D65" i="17" l="1"/>
  <c r="E64" i="17"/>
  <c r="G64" i="17" s="1"/>
  <c r="K55" i="9"/>
  <c r="G36" i="9"/>
  <c r="C37" i="11"/>
  <c r="C36" i="11"/>
  <c r="C35" i="11"/>
  <c r="C30" i="11" s="1"/>
  <c r="F30" i="9"/>
  <c r="F34" i="9"/>
  <c r="K48" i="9"/>
  <c r="L48" i="9"/>
  <c r="M48" i="9"/>
  <c r="N48" i="9"/>
  <c r="E35" i="11"/>
  <c r="F35" i="11"/>
  <c r="G35" i="11"/>
  <c r="H35" i="11"/>
  <c r="I35" i="11"/>
  <c r="J35" i="11"/>
  <c r="K35" i="11"/>
  <c r="L35" i="11"/>
  <c r="E36" i="11"/>
  <c r="F36" i="11"/>
  <c r="G36" i="11"/>
  <c r="H36" i="11"/>
  <c r="I36" i="11"/>
  <c r="J36" i="11"/>
  <c r="K36" i="11"/>
  <c r="L36" i="11"/>
  <c r="E37" i="11"/>
  <c r="F37" i="11"/>
  <c r="G37" i="11"/>
  <c r="H37" i="11"/>
  <c r="I37" i="11"/>
  <c r="J37" i="11"/>
  <c r="K37" i="11"/>
  <c r="L37" i="11"/>
  <c r="D36" i="11"/>
  <c r="D37" i="11"/>
  <c r="D35" i="11"/>
  <c r="D108" i="10"/>
  <c r="E108" i="10" s="1"/>
  <c r="F108" i="10" s="1"/>
  <c r="G108" i="10" s="1"/>
  <c r="H108" i="10" s="1"/>
  <c r="I108" i="10" s="1"/>
  <c r="J108" i="10" s="1"/>
  <c r="K108" i="10" s="1"/>
  <c r="L108" i="10" s="1"/>
  <c r="D128" i="10"/>
  <c r="E128" i="10" s="1"/>
  <c r="F128" i="10" s="1"/>
  <c r="G128" i="10" s="1"/>
  <c r="H128" i="10" s="1"/>
  <c r="I128" i="10" s="1"/>
  <c r="J128" i="10" s="1"/>
  <c r="K128" i="10" s="1"/>
  <c r="L128" i="10" s="1"/>
  <c r="D127" i="10"/>
  <c r="E127" i="10" s="1"/>
  <c r="F127" i="10" s="1"/>
  <c r="G127" i="10" s="1"/>
  <c r="H127" i="10" s="1"/>
  <c r="I127" i="10" s="1"/>
  <c r="J127" i="10" s="1"/>
  <c r="K127" i="10" s="1"/>
  <c r="L127" i="10" s="1"/>
  <c r="E9" i="13"/>
  <c r="E10" i="13"/>
  <c r="E8" i="13"/>
  <c r="E65" i="17" l="1"/>
  <c r="G65" i="17" s="1"/>
  <c r="F65" i="17"/>
  <c r="L34" i="11"/>
  <c r="F47" i="9"/>
  <c r="H36" i="9"/>
  <c r="G34" i="9"/>
  <c r="G30" i="9"/>
  <c r="L55" i="9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D66" i="17" l="1"/>
  <c r="F66" i="17" s="1"/>
  <c r="H136" i="13"/>
  <c r="H173" i="13"/>
  <c r="H237" i="13"/>
  <c r="H277" i="13"/>
  <c r="H163" i="13"/>
  <c r="H167" i="13"/>
  <c r="H171" i="13"/>
  <c r="H175" i="13"/>
  <c r="H179" i="13"/>
  <c r="H183" i="13"/>
  <c r="H187" i="13"/>
  <c r="H191" i="13"/>
  <c r="H195" i="13"/>
  <c r="H199" i="13"/>
  <c r="H203" i="13"/>
  <c r="H207" i="13"/>
  <c r="H211" i="13"/>
  <c r="H215" i="13"/>
  <c r="H219" i="13"/>
  <c r="H223" i="13"/>
  <c r="H227" i="13"/>
  <c r="H231" i="13"/>
  <c r="H235" i="13"/>
  <c r="H239" i="13"/>
  <c r="H243" i="13"/>
  <c r="H247" i="13"/>
  <c r="H251" i="13"/>
  <c r="H255" i="13"/>
  <c r="H259" i="13"/>
  <c r="H263" i="13"/>
  <c r="H267" i="13"/>
  <c r="H271" i="13"/>
  <c r="H275" i="13"/>
  <c r="H279" i="13"/>
  <c r="H208" i="13"/>
  <c r="H224" i="13"/>
  <c r="H232" i="13"/>
  <c r="H240" i="13"/>
  <c r="H248" i="13"/>
  <c r="H256" i="13"/>
  <c r="H264" i="13"/>
  <c r="H272" i="13"/>
  <c r="H280" i="13"/>
  <c r="H169" i="13"/>
  <c r="H177" i="13"/>
  <c r="H185" i="13"/>
  <c r="H193" i="13"/>
  <c r="H201" i="13"/>
  <c r="H209" i="13"/>
  <c r="H217" i="13"/>
  <c r="H225" i="13"/>
  <c r="H233" i="13"/>
  <c r="H245" i="13"/>
  <c r="H253" i="13"/>
  <c r="H261" i="13"/>
  <c r="H273" i="13"/>
  <c r="H265" i="13"/>
  <c r="H166" i="13"/>
  <c r="H170" i="13"/>
  <c r="H174" i="13"/>
  <c r="H178" i="13"/>
  <c r="H182" i="13"/>
  <c r="H186" i="13"/>
  <c r="H190" i="13"/>
  <c r="H194" i="13"/>
  <c r="H198" i="13"/>
  <c r="H202" i="13"/>
  <c r="H206" i="13"/>
  <c r="H210" i="13"/>
  <c r="H214" i="13"/>
  <c r="H218" i="13"/>
  <c r="H222" i="13"/>
  <c r="H226" i="13"/>
  <c r="H230" i="13"/>
  <c r="H234" i="13"/>
  <c r="H238" i="13"/>
  <c r="H242" i="13"/>
  <c r="H246" i="13"/>
  <c r="H250" i="13"/>
  <c r="H254" i="13"/>
  <c r="H258" i="13"/>
  <c r="H262" i="13"/>
  <c r="H266" i="13"/>
  <c r="H270" i="13"/>
  <c r="H274" i="13"/>
  <c r="H278" i="13"/>
  <c r="H164" i="13"/>
  <c r="H168" i="13"/>
  <c r="H172" i="13"/>
  <c r="H176" i="13"/>
  <c r="H180" i="13"/>
  <c r="H184" i="13"/>
  <c r="H188" i="13"/>
  <c r="H192" i="13"/>
  <c r="H196" i="13"/>
  <c r="H200" i="13"/>
  <c r="H204" i="13"/>
  <c r="H212" i="13"/>
  <c r="H216" i="13"/>
  <c r="H220" i="13"/>
  <c r="H228" i="13"/>
  <c r="H236" i="13"/>
  <c r="H244" i="13"/>
  <c r="H252" i="13"/>
  <c r="H260" i="13"/>
  <c r="H268" i="13"/>
  <c r="H276" i="13"/>
  <c r="H165" i="13"/>
  <c r="H181" i="13"/>
  <c r="H189" i="13"/>
  <c r="H197" i="13"/>
  <c r="H205" i="13"/>
  <c r="H213" i="13"/>
  <c r="H221" i="13"/>
  <c r="H229" i="13"/>
  <c r="H241" i="13"/>
  <c r="H249" i="13"/>
  <c r="H257" i="13"/>
  <c r="H269" i="13"/>
  <c r="H281" i="13"/>
  <c r="E43" i="13"/>
  <c r="H157" i="13"/>
  <c r="H154" i="13"/>
  <c r="M55" i="9"/>
  <c r="H34" i="9"/>
  <c r="H30" i="9"/>
  <c r="I36" i="9"/>
  <c r="H161" i="13"/>
  <c r="H148" i="13"/>
  <c r="H140" i="13"/>
  <c r="H132" i="13"/>
  <c r="H124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128" i="13"/>
  <c r="H144" i="13"/>
  <c r="F43" i="13"/>
  <c r="H126" i="13"/>
  <c r="H130" i="13"/>
  <c r="H134" i="13"/>
  <c r="H138" i="13"/>
  <c r="H142" i="13"/>
  <c r="H146" i="13"/>
  <c r="H150" i="13"/>
  <c r="H152" i="13"/>
  <c r="H125" i="13"/>
  <c r="H127" i="13"/>
  <c r="H129" i="13"/>
  <c r="H131" i="13"/>
  <c r="H133" i="13"/>
  <c r="H135" i="13"/>
  <c r="H137" i="13"/>
  <c r="H139" i="13"/>
  <c r="H141" i="13"/>
  <c r="H143" i="13"/>
  <c r="H145" i="13"/>
  <c r="H147" i="13"/>
  <c r="H149" i="13"/>
  <c r="H151" i="13"/>
  <c r="H153" i="13"/>
  <c r="H155" i="13"/>
  <c r="H156" i="13"/>
  <c r="H158" i="13"/>
  <c r="H160" i="13"/>
  <c r="H159" i="13"/>
  <c r="H162" i="13"/>
  <c r="D67" i="17" l="1"/>
  <c r="F67" i="17" s="1"/>
  <c r="E66" i="17"/>
  <c r="G66" i="17" s="1"/>
  <c r="E44" i="13"/>
  <c r="J36" i="9"/>
  <c r="I34" i="9"/>
  <c r="I30" i="9"/>
  <c r="N55" i="9"/>
  <c r="G43" i="13"/>
  <c r="F44" i="13"/>
  <c r="D68" i="17" l="1"/>
  <c r="E67" i="17"/>
  <c r="G67" i="17" s="1"/>
  <c r="G44" i="13"/>
  <c r="F45" i="13"/>
  <c r="E46" i="13" s="1"/>
  <c r="E45" i="13"/>
  <c r="J34" i="9"/>
  <c r="J30" i="9"/>
  <c r="K36" i="9"/>
  <c r="E68" i="17" l="1"/>
  <c r="G68" i="17" s="1"/>
  <c r="F68" i="17"/>
  <c r="G45" i="13"/>
  <c r="K30" i="9"/>
  <c r="L36" i="9"/>
  <c r="K34" i="9"/>
  <c r="G46" i="13"/>
  <c r="F46" i="13"/>
  <c r="E47" i="13" s="1"/>
  <c r="D69" i="17" l="1"/>
  <c r="F69" i="17"/>
  <c r="M36" i="9"/>
  <c r="L34" i="9"/>
  <c r="L30" i="9"/>
  <c r="F47" i="13"/>
  <c r="E48" i="13" s="1"/>
  <c r="D70" i="17" l="1"/>
  <c r="F70" i="17"/>
  <c r="E69" i="17"/>
  <c r="G69" i="17" s="1"/>
  <c r="M34" i="9"/>
  <c r="M30" i="9"/>
  <c r="N36" i="9"/>
  <c r="G47" i="13"/>
  <c r="D71" i="17" l="1"/>
  <c r="E70" i="17"/>
  <c r="G70" i="17" s="1"/>
  <c r="N30" i="9"/>
  <c r="N34" i="9"/>
  <c r="G48" i="13"/>
  <c r="F48" i="13"/>
  <c r="E71" i="17" l="1"/>
  <c r="G71" i="17" s="1"/>
  <c r="F71" i="17"/>
  <c r="E49" i="13"/>
  <c r="D49" i="13"/>
  <c r="D72" i="17" l="1"/>
  <c r="F49" i="13"/>
  <c r="D50" i="13" s="1"/>
  <c r="G49" i="13"/>
  <c r="E72" i="17" l="1"/>
  <c r="F72" i="17"/>
  <c r="E50" i="13"/>
  <c r="F50" i="13"/>
  <c r="D73" i="17" l="1"/>
  <c r="F73" i="17" s="1"/>
  <c r="G72" i="17"/>
  <c r="G50" i="13"/>
  <c r="E51" i="13"/>
  <c r="D51" i="13"/>
  <c r="D74" i="17" l="1"/>
  <c r="F74" i="17" s="1"/>
  <c r="E73" i="17"/>
  <c r="G73" i="17" s="1"/>
  <c r="F51" i="13"/>
  <c r="E52" i="13"/>
  <c r="D52" i="13"/>
  <c r="G51" i="13"/>
  <c r="E74" i="17" l="1"/>
  <c r="G74" i="17" s="1"/>
  <c r="D75" i="17"/>
  <c r="G52" i="13"/>
  <c r="F52" i="13"/>
  <c r="E75" i="17" l="1"/>
  <c r="G75" i="17" s="1"/>
  <c r="F75" i="17"/>
  <c r="E53" i="13"/>
  <c r="D53" i="13"/>
  <c r="D76" i="17" l="1"/>
  <c r="F53" i="13"/>
  <c r="E54" i="13"/>
  <c r="D54" i="13"/>
  <c r="G53" i="13"/>
  <c r="E76" i="17" l="1"/>
  <c r="G76" i="17" s="1"/>
  <c r="F76" i="17"/>
  <c r="F54" i="13"/>
  <c r="D77" i="17" l="1"/>
  <c r="F77" i="17" s="1"/>
  <c r="D55" i="13"/>
  <c r="G54" i="13"/>
  <c r="D78" i="17" l="1"/>
  <c r="F78" i="17" s="1"/>
  <c r="E77" i="17"/>
  <c r="G77" i="17" s="1"/>
  <c r="F55" i="13"/>
  <c r="D56" i="13" s="1"/>
  <c r="F56" i="13" s="1"/>
  <c r="E55" i="13"/>
  <c r="D79" i="17" l="1"/>
  <c r="E78" i="17"/>
  <c r="G78" i="17" s="1"/>
  <c r="D57" i="13"/>
  <c r="G55" i="13"/>
  <c r="E56" i="13"/>
  <c r="G56" i="13" s="1"/>
  <c r="E79" i="17" l="1"/>
  <c r="G79" i="17" s="1"/>
  <c r="F79" i="17"/>
  <c r="F57" i="13"/>
  <c r="D58" i="13" s="1"/>
  <c r="E57" i="13"/>
  <c r="D80" i="17" l="1"/>
  <c r="F80" i="17"/>
  <c r="F58" i="13"/>
  <c r="D59" i="13" s="1"/>
  <c r="G57" i="13"/>
  <c r="E58" i="13"/>
  <c r="G58" i="13" s="1"/>
  <c r="D81" i="17" l="1"/>
  <c r="F81" i="17" s="1"/>
  <c r="E80" i="17"/>
  <c r="G80" i="17" s="1"/>
  <c r="F59" i="13"/>
  <c r="D60" i="13" s="1"/>
  <c r="E59" i="13"/>
  <c r="G59" i="13" s="1"/>
  <c r="D82" i="17" l="1"/>
  <c r="E81" i="17"/>
  <c r="G81" i="17" s="1"/>
  <c r="E60" i="13"/>
  <c r="G60" i="13" s="1"/>
  <c r="F60" i="13"/>
  <c r="E82" i="17" l="1"/>
  <c r="G82" i="17" s="1"/>
  <c r="F82" i="17"/>
  <c r="D61" i="13"/>
  <c r="D83" i="17" l="1"/>
  <c r="E61" i="13"/>
  <c r="G61" i="13" s="1"/>
  <c r="F61" i="13"/>
  <c r="E83" i="17" l="1"/>
  <c r="F83" i="17"/>
  <c r="D62" i="13"/>
  <c r="D84" i="17" l="1"/>
  <c r="F84" i="17" s="1"/>
  <c r="G83" i="17"/>
  <c r="F62" i="13"/>
  <c r="D63" i="13" s="1"/>
  <c r="E62" i="13"/>
  <c r="D85" i="17" l="1"/>
  <c r="E84" i="17"/>
  <c r="G62" i="13"/>
  <c r="E63" i="13"/>
  <c r="G63" i="13" s="1"/>
  <c r="F63" i="13"/>
  <c r="G84" i="17" l="1"/>
  <c r="E85" i="17"/>
  <c r="G85" i="17" s="1"/>
  <c r="F85" i="17"/>
  <c r="D64" i="13"/>
  <c r="D86" i="17" l="1"/>
  <c r="F86" i="17" s="1"/>
  <c r="F64" i="13"/>
  <c r="D65" i="13" s="1"/>
  <c r="E64" i="13"/>
  <c r="E86" i="17" l="1"/>
  <c r="G86" i="17" s="1"/>
  <c r="D87" i="17"/>
  <c r="G64" i="13"/>
  <c r="E65" i="13"/>
  <c r="G65" i="13" s="1"/>
  <c r="F65" i="13"/>
  <c r="E87" i="17" l="1"/>
  <c r="G87" i="17" s="1"/>
  <c r="F87" i="17"/>
  <c r="D66" i="13"/>
  <c r="F66" i="13" s="1"/>
  <c r="D88" i="17" l="1"/>
  <c r="F88" i="17" s="1"/>
  <c r="D67" i="13"/>
  <c r="E66" i="13"/>
  <c r="D89" i="17" l="1"/>
  <c r="F89" i="17"/>
  <c r="E88" i="17"/>
  <c r="G88" i="17" s="1"/>
  <c r="G66" i="13"/>
  <c r="E67" i="13"/>
  <c r="F67" i="13"/>
  <c r="D90" i="17" l="1"/>
  <c r="E89" i="17"/>
  <c r="G89" i="17"/>
  <c r="D68" i="13"/>
  <c r="G67" i="13"/>
  <c r="E90" i="17" l="1"/>
  <c r="G90" i="17"/>
  <c r="F90" i="17"/>
  <c r="E68" i="13"/>
  <c r="F68" i="13"/>
  <c r="D91" i="17" l="1"/>
  <c r="D69" i="13"/>
  <c r="F69" i="13" s="1"/>
  <c r="G68" i="13"/>
  <c r="E91" i="17" l="1"/>
  <c r="G91" i="17" s="1"/>
  <c r="F91" i="17"/>
  <c r="D70" i="13"/>
  <c r="E69" i="13"/>
  <c r="G69" i="13" s="1"/>
  <c r="D92" i="17" l="1"/>
  <c r="F92" i="17"/>
  <c r="E70" i="13"/>
  <c r="G70" i="13" s="1"/>
  <c r="F70" i="13"/>
  <c r="D93" i="17" l="1"/>
  <c r="E92" i="17"/>
  <c r="G92" i="17" s="1"/>
  <c r="D71" i="13"/>
  <c r="E93" i="17" l="1"/>
  <c r="G93" i="17"/>
  <c r="F93" i="17"/>
  <c r="F71" i="13"/>
  <c r="D72" i="13" s="1"/>
  <c r="E71" i="13"/>
  <c r="G71" i="13" s="1"/>
  <c r="D94" i="17" l="1"/>
  <c r="E72" i="13"/>
  <c r="G72" i="13" s="1"/>
  <c r="F72" i="13"/>
  <c r="E94" i="17" l="1"/>
  <c r="G94" i="17" s="1"/>
  <c r="F94" i="17"/>
  <c r="D73" i="13"/>
  <c r="D95" i="17" l="1"/>
  <c r="F95" i="17"/>
  <c r="F73" i="13"/>
  <c r="D74" i="13" s="1"/>
  <c r="E73" i="13"/>
  <c r="G73" i="13" s="1"/>
  <c r="D96" i="17" l="1"/>
  <c r="E95" i="17"/>
  <c r="E74" i="13"/>
  <c r="F74" i="13"/>
  <c r="G95" i="17" l="1"/>
  <c r="E96" i="17"/>
  <c r="G96" i="17" s="1"/>
  <c r="F96" i="17"/>
  <c r="G74" i="13"/>
  <c r="D75" i="13"/>
  <c r="D97" i="17" l="1"/>
  <c r="F75" i="13"/>
  <c r="D76" i="13" s="1"/>
  <c r="E75" i="13"/>
  <c r="E97" i="17" l="1"/>
  <c r="F97" i="17"/>
  <c r="G75" i="13"/>
  <c r="E76" i="13"/>
  <c r="G76" i="13" s="1"/>
  <c r="F76" i="13"/>
  <c r="D98" i="17" l="1"/>
  <c r="G97" i="17"/>
  <c r="D77" i="13"/>
  <c r="E98" i="17" l="1"/>
  <c r="G98" i="17" s="1"/>
  <c r="F98" i="17"/>
  <c r="F77" i="13"/>
  <c r="D78" i="13" s="1"/>
  <c r="E77" i="13"/>
  <c r="D99" i="17" l="1"/>
  <c r="F99" i="17" s="1"/>
  <c r="G77" i="13"/>
  <c r="E78" i="13"/>
  <c r="F78" i="13"/>
  <c r="D100" i="17" l="1"/>
  <c r="E99" i="17"/>
  <c r="G99" i="17" s="1"/>
  <c r="G78" i="13"/>
  <c r="D79" i="13"/>
  <c r="E100" i="17" l="1"/>
  <c r="G100" i="17"/>
  <c r="F100" i="17"/>
  <c r="F79" i="13"/>
  <c r="D80" i="13" s="1"/>
  <c r="E79" i="13"/>
  <c r="D101" i="17" l="1"/>
  <c r="G79" i="13"/>
  <c r="E80" i="13"/>
  <c r="F80" i="13"/>
  <c r="E101" i="17" l="1"/>
  <c r="G101" i="17" s="1"/>
  <c r="F101" i="17"/>
  <c r="G80" i="13"/>
  <c r="D81" i="13"/>
  <c r="F81" i="13" s="1"/>
  <c r="D102" i="17" l="1"/>
  <c r="E81" i="13"/>
  <c r="D82" i="13"/>
  <c r="E102" i="17" l="1"/>
  <c r="G102" i="17" s="1"/>
  <c r="F102" i="17"/>
  <c r="E82" i="13"/>
  <c r="G82" i="13" s="1"/>
  <c r="F82" i="13"/>
  <c r="G81" i="13"/>
  <c r="D103" i="17" l="1"/>
  <c r="D83" i="13"/>
  <c r="E103" i="17" l="1"/>
  <c r="G103" i="17" s="1"/>
  <c r="F103" i="17"/>
  <c r="E83" i="13"/>
  <c r="G83" i="13" s="1"/>
  <c r="F83" i="13"/>
  <c r="D104" i="17" l="1"/>
  <c r="F104" i="17" s="1"/>
  <c r="D84" i="13"/>
  <c r="D105" i="17" l="1"/>
  <c r="F105" i="17" s="1"/>
  <c r="E104" i="17"/>
  <c r="G104" i="17" s="1"/>
  <c r="F84" i="13"/>
  <c r="D85" i="13" s="1"/>
  <c r="E84" i="13"/>
  <c r="G84" i="13" s="1"/>
  <c r="D106" i="17" l="1"/>
  <c r="E105" i="17"/>
  <c r="G105" i="17" s="1"/>
  <c r="E85" i="13"/>
  <c r="G85" i="13" s="1"/>
  <c r="F85" i="13"/>
  <c r="E106" i="17" l="1"/>
  <c r="G106" i="17" s="1"/>
  <c r="F106" i="17"/>
  <c r="D86" i="13"/>
  <c r="D107" i="17" l="1"/>
  <c r="F86" i="13"/>
  <c r="D87" i="13" s="1"/>
  <c r="F87" i="13" s="1"/>
  <c r="E86" i="13"/>
  <c r="E107" i="17" l="1"/>
  <c r="F107" i="17"/>
  <c r="G86" i="13"/>
  <c r="D88" i="13"/>
  <c r="E87" i="13"/>
  <c r="G87" i="13" s="1"/>
  <c r="D108" i="17" l="1"/>
  <c r="F108" i="17" s="1"/>
  <c r="G107" i="17"/>
  <c r="F88" i="13"/>
  <c r="D89" i="13" s="1"/>
  <c r="E88" i="13"/>
  <c r="D109" i="17" l="1"/>
  <c r="E108" i="17"/>
  <c r="G88" i="13"/>
  <c r="E89" i="13"/>
  <c r="G89" i="13" s="1"/>
  <c r="F89" i="13"/>
  <c r="G108" i="17" l="1"/>
  <c r="E109" i="17"/>
  <c r="G109" i="17" s="1"/>
  <c r="F109" i="17"/>
  <c r="D90" i="13"/>
  <c r="F90" i="13" s="1"/>
  <c r="D110" i="17" l="1"/>
  <c r="D91" i="13"/>
  <c r="E90" i="13"/>
  <c r="E110" i="17" l="1"/>
  <c r="G110" i="17" s="1"/>
  <c r="F110" i="17"/>
  <c r="G90" i="13"/>
  <c r="E91" i="13"/>
  <c r="G91" i="13" s="1"/>
  <c r="F91" i="13"/>
  <c r="D111" i="17" l="1"/>
  <c r="D92" i="13"/>
  <c r="E111" i="17" l="1"/>
  <c r="G111" i="17" s="1"/>
  <c r="F111" i="17"/>
  <c r="E92" i="13"/>
  <c r="F92" i="13"/>
  <c r="D112" i="17" l="1"/>
  <c r="F112" i="17"/>
  <c r="G92" i="13"/>
  <c r="D93" i="13"/>
  <c r="F93" i="13" s="1"/>
  <c r="D113" i="17" l="1"/>
  <c r="E112" i="17"/>
  <c r="G112" i="17" s="1"/>
  <c r="D94" i="13"/>
  <c r="E93" i="13"/>
  <c r="G93" i="13" s="1"/>
  <c r="E113" i="17" l="1"/>
  <c r="G113" i="17" s="1"/>
  <c r="F113" i="17"/>
  <c r="E94" i="13"/>
  <c r="G94" i="13" s="1"/>
  <c r="F94" i="13"/>
  <c r="D114" i="17" l="1"/>
  <c r="D95" i="13"/>
  <c r="E114" i="17" l="1"/>
  <c r="G114" i="17" s="1"/>
  <c r="F114" i="17"/>
  <c r="F95" i="13"/>
  <c r="D96" i="13" s="1"/>
  <c r="E95" i="13"/>
  <c r="G95" i="13" s="1"/>
  <c r="D115" i="17" l="1"/>
  <c r="E96" i="13"/>
  <c r="G96" i="13" s="1"/>
  <c r="F96" i="13"/>
  <c r="E115" i="17" l="1"/>
  <c r="G115" i="17" s="1"/>
  <c r="F115" i="17"/>
  <c r="D97" i="13"/>
  <c r="D116" i="17" l="1"/>
  <c r="F97" i="13"/>
  <c r="D98" i="13" s="1"/>
  <c r="E97" i="13"/>
  <c r="G97" i="13" s="1"/>
  <c r="E116" i="17" l="1"/>
  <c r="G116" i="17" s="1"/>
  <c r="F116" i="17"/>
  <c r="E98" i="13"/>
  <c r="F98" i="13"/>
  <c r="D117" i="17" l="1"/>
  <c r="F117" i="17" s="1"/>
  <c r="G98" i="13"/>
  <c r="D99" i="13"/>
  <c r="D118" i="17" l="1"/>
  <c r="F118" i="17" s="1"/>
  <c r="E117" i="17"/>
  <c r="G117" i="17"/>
  <c r="F99" i="13"/>
  <c r="D100" i="13" s="1"/>
  <c r="E99" i="13"/>
  <c r="D119" i="17" l="1"/>
  <c r="E118" i="17"/>
  <c r="G118" i="17"/>
  <c r="G99" i="13"/>
  <c r="E100" i="13"/>
  <c r="G100" i="13" s="1"/>
  <c r="F100" i="13"/>
  <c r="E119" i="17" l="1"/>
  <c r="F119" i="17"/>
  <c r="D101" i="13"/>
  <c r="D120" i="17" l="1"/>
  <c r="G119" i="17"/>
  <c r="F101" i="13"/>
  <c r="D102" i="13" s="1"/>
  <c r="E101" i="13"/>
  <c r="E120" i="17" l="1"/>
  <c r="F120" i="17"/>
  <c r="G101" i="13"/>
  <c r="E102" i="13"/>
  <c r="F102" i="13"/>
  <c r="D121" i="17" l="1"/>
  <c r="F121" i="17" s="1"/>
  <c r="G120" i="17"/>
  <c r="D103" i="13"/>
  <c r="G102" i="13"/>
  <c r="D122" i="17" l="1"/>
  <c r="E121" i="17"/>
  <c r="G121" i="17" s="1"/>
  <c r="E103" i="13"/>
  <c r="F103" i="13"/>
  <c r="E122" i="17" l="1"/>
  <c r="G122" i="17" s="1"/>
  <c r="F122" i="17"/>
  <c r="D104" i="13"/>
  <c r="G103" i="13"/>
  <c r="D123" i="17" l="1"/>
  <c r="E104" i="13"/>
  <c r="F104" i="13"/>
  <c r="E123" i="17" l="1"/>
  <c r="G123" i="17" s="1"/>
  <c r="F123" i="17"/>
  <c r="D105" i="13"/>
  <c r="F105" i="13" s="1"/>
  <c r="G104" i="13"/>
  <c r="D124" i="17" l="1"/>
  <c r="F124" i="17"/>
  <c r="D106" i="13"/>
  <c r="E105" i="13"/>
  <c r="G105" i="13" s="1"/>
  <c r="D125" i="17" l="1"/>
  <c r="F125" i="17" s="1"/>
  <c r="E124" i="17"/>
  <c r="G124" i="17" s="1"/>
  <c r="E106" i="13"/>
  <c r="G106" i="13" s="1"/>
  <c r="F106" i="13"/>
  <c r="D126" i="17" l="1"/>
  <c r="E125" i="17"/>
  <c r="G125" i="17"/>
  <c r="D107" i="13"/>
  <c r="E126" i="17" l="1"/>
  <c r="G126" i="17" s="1"/>
  <c r="F126" i="17"/>
  <c r="F107" i="13"/>
  <c r="D108" i="13" s="1"/>
  <c r="F108" i="13" s="1"/>
  <c r="E107" i="13"/>
  <c r="G107" i="13" s="1"/>
  <c r="D127" i="17" l="1"/>
  <c r="F127" i="17"/>
  <c r="E108" i="13"/>
  <c r="G108" i="13" s="1"/>
  <c r="D109" i="13"/>
  <c r="D128" i="17" l="1"/>
  <c r="E127" i="17"/>
  <c r="G127" i="17" s="1"/>
  <c r="F109" i="13"/>
  <c r="D110" i="13" s="1"/>
  <c r="E109" i="13"/>
  <c r="G109" i="13" s="1"/>
  <c r="E128" i="17" l="1"/>
  <c r="G128" i="17" s="1"/>
  <c r="F128" i="17"/>
  <c r="E110" i="13"/>
  <c r="F110" i="13"/>
  <c r="D129" i="17" l="1"/>
  <c r="F129" i="17"/>
  <c r="G110" i="13"/>
  <c r="D111" i="13"/>
  <c r="D130" i="17" l="1"/>
  <c r="F130" i="17" s="1"/>
  <c r="E129" i="17"/>
  <c r="G129" i="17" s="1"/>
  <c r="F111" i="13"/>
  <c r="D112" i="13" s="1"/>
  <c r="E111" i="13"/>
  <c r="D131" i="17" l="1"/>
  <c r="E130" i="17"/>
  <c r="G130" i="17" s="1"/>
  <c r="G111" i="13"/>
  <c r="E112" i="13"/>
  <c r="G112" i="13" s="1"/>
  <c r="F112" i="13"/>
  <c r="E131" i="17" l="1"/>
  <c r="G131" i="17" s="1"/>
  <c r="F131" i="17"/>
  <c r="D113" i="13"/>
  <c r="D132" i="17" l="1"/>
  <c r="F113" i="13"/>
  <c r="D114" i="13" s="1"/>
  <c r="E113" i="13"/>
  <c r="E132" i="17" l="1"/>
  <c r="F132" i="17"/>
  <c r="G113" i="13"/>
  <c r="E114" i="13"/>
  <c r="F114" i="13"/>
  <c r="D133" i="17" l="1"/>
  <c r="G132" i="17"/>
  <c r="D115" i="13"/>
  <c r="G114" i="13"/>
  <c r="E133" i="17" l="1"/>
  <c r="G133" i="17" s="1"/>
  <c r="F133" i="17"/>
  <c r="E115" i="13"/>
  <c r="F115" i="13"/>
  <c r="D134" i="17" l="1"/>
  <c r="F134" i="17" s="1"/>
  <c r="D116" i="13"/>
  <c r="G115" i="13"/>
  <c r="D135" i="17" l="1"/>
  <c r="F135" i="17"/>
  <c r="E134" i="17"/>
  <c r="G134" i="17" s="1"/>
  <c r="E116" i="13"/>
  <c r="F116" i="13"/>
  <c r="D136" i="17" l="1"/>
  <c r="E135" i="17"/>
  <c r="G135" i="17" s="1"/>
  <c r="D117" i="13"/>
  <c r="G116" i="13"/>
  <c r="E136" i="17" l="1"/>
  <c r="G136" i="17"/>
  <c r="F136" i="17"/>
  <c r="F117" i="13"/>
  <c r="D118" i="13" s="1"/>
  <c r="E117" i="13"/>
  <c r="G117" i="13" s="1"/>
  <c r="D137" i="17" l="1"/>
  <c r="E118" i="13"/>
  <c r="G118" i="13" s="1"/>
  <c r="F118" i="13"/>
  <c r="E137" i="17" l="1"/>
  <c r="G137" i="17" s="1"/>
  <c r="F137" i="17"/>
  <c r="D119" i="13"/>
  <c r="D138" i="17" l="1"/>
  <c r="F138" i="17"/>
  <c r="F119" i="13"/>
  <c r="D120" i="13" s="1"/>
  <c r="E119" i="13"/>
  <c r="G119" i="13" s="1"/>
  <c r="D139" i="17" l="1"/>
  <c r="E138" i="17"/>
  <c r="G138" i="17" s="1"/>
  <c r="E120" i="13"/>
  <c r="G120" i="13" s="1"/>
  <c r="F120" i="13"/>
  <c r="E139" i="17" l="1"/>
  <c r="G139" i="17" s="1"/>
  <c r="F139" i="17"/>
  <c r="D121" i="13"/>
  <c r="D140" i="17" l="1"/>
  <c r="F140" i="17" s="1"/>
  <c r="E121" i="13"/>
  <c r="G121" i="13" s="1"/>
  <c r="F121" i="13"/>
  <c r="E140" i="17" l="1"/>
  <c r="G140" i="17"/>
  <c r="D141" i="17"/>
  <c r="D122" i="13"/>
  <c r="E141" i="17" l="1"/>
  <c r="G141" i="17" s="1"/>
  <c r="F141" i="17"/>
  <c r="E122" i="13"/>
  <c r="F122" i="13"/>
  <c r="D142" i="17" l="1"/>
  <c r="F142" i="17"/>
  <c r="G122" i="13"/>
  <c r="D123" i="13"/>
  <c r="F123" i="13" s="1"/>
  <c r="D143" i="17" l="1"/>
  <c r="F143" i="17"/>
  <c r="E142" i="17"/>
  <c r="G142" i="17" s="1"/>
  <c r="D124" i="13"/>
  <c r="E123" i="13"/>
  <c r="D144" i="17" l="1"/>
  <c r="E143" i="17"/>
  <c r="G143" i="17" s="1"/>
  <c r="G123" i="13"/>
  <c r="E124" i="13"/>
  <c r="G124" i="13" s="1"/>
  <c r="F124" i="13"/>
  <c r="E144" i="17" l="1"/>
  <c r="G144" i="17" s="1"/>
  <c r="F144" i="17"/>
  <c r="D125" i="13"/>
  <c r="F125" i="13" s="1"/>
  <c r="D145" i="17" l="1"/>
  <c r="D126" i="13"/>
  <c r="E125" i="13"/>
  <c r="E145" i="17" l="1"/>
  <c r="F145" i="17"/>
  <c r="G125" i="13"/>
  <c r="E126" i="13"/>
  <c r="F126" i="13"/>
  <c r="D146" i="17" l="1"/>
  <c r="G145" i="17"/>
  <c r="G126" i="13"/>
  <c r="D127" i="13"/>
  <c r="E146" i="17" l="1"/>
  <c r="G146" i="17" s="1"/>
  <c r="F146" i="17"/>
  <c r="E127" i="13"/>
  <c r="F127" i="13"/>
  <c r="D147" i="17" l="1"/>
  <c r="F147" i="17" s="1"/>
  <c r="G127" i="13"/>
  <c r="D128" i="13"/>
  <c r="D148" i="17" l="1"/>
  <c r="F148" i="17" s="1"/>
  <c r="E147" i="17"/>
  <c r="G147" i="17" s="1"/>
  <c r="E128" i="13"/>
  <c r="F128" i="13"/>
  <c r="D149" i="17" l="1"/>
  <c r="E148" i="17"/>
  <c r="G148" i="17" s="1"/>
  <c r="D129" i="13"/>
  <c r="G128" i="13"/>
  <c r="E149" i="17" l="1"/>
  <c r="G149" i="17"/>
  <c r="F149" i="17"/>
  <c r="F129" i="13"/>
  <c r="D130" i="13" s="1"/>
  <c r="E129" i="13"/>
  <c r="G129" i="13" s="1"/>
  <c r="D150" i="17" l="1"/>
  <c r="E130" i="13"/>
  <c r="G130" i="13" s="1"/>
  <c r="F130" i="13"/>
  <c r="E150" i="17" l="1"/>
  <c r="G150" i="17" s="1"/>
  <c r="F150" i="17"/>
  <c r="D131" i="13"/>
  <c r="D151" i="17" l="1"/>
  <c r="F151" i="17" s="1"/>
  <c r="F131" i="13"/>
  <c r="D132" i="13" s="1"/>
  <c r="E131" i="13"/>
  <c r="G131" i="13" s="1"/>
  <c r="D152" i="17" l="1"/>
  <c r="E151" i="17"/>
  <c r="G151" i="17" s="1"/>
  <c r="E132" i="13"/>
  <c r="G132" i="13" s="1"/>
  <c r="F132" i="13"/>
  <c r="E152" i="17" l="1"/>
  <c r="G152" i="17" s="1"/>
  <c r="F152" i="17"/>
  <c r="D133" i="13"/>
  <c r="F28" i="9"/>
  <c r="D79" i="10"/>
  <c r="E79" i="10" s="1"/>
  <c r="F79" i="10" s="1"/>
  <c r="G79" i="10" s="1"/>
  <c r="H79" i="10" s="1"/>
  <c r="I79" i="10" s="1"/>
  <c r="J79" i="10" s="1"/>
  <c r="K79" i="10" s="1"/>
  <c r="L79" i="10" s="1"/>
  <c r="D22" i="10"/>
  <c r="E22" i="10" s="1"/>
  <c r="F22" i="10" s="1"/>
  <c r="G22" i="10" s="1"/>
  <c r="H22" i="10" s="1"/>
  <c r="I22" i="10" s="1"/>
  <c r="J22" i="10" s="1"/>
  <c r="K22" i="10" s="1"/>
  <c r="L22" i="10" s="1"/>
  <c r="D23" i="10"/>
  <c r="E23" i="10" s="1"/>
  <c r="F23" i="10" s="1"/>
  <c r="G23" i="10" s="1"/>
  <c r="H23" i="10" s="1"/>
  <c r="I23" i="10" s="1"/>
  <c r="J23" i="10" s="1"/>
  <c r="K23" i="10" s="1"/>
  <c r="L23" i="10" s="1"/>
  <c r="D24" i="10"/>
  <c r="E24" i="10" s="1"/>
  <c r="F24" i="10" s="1"/>
  <c r="G24" i="10" s="1"/>
  <c r="H24" i="10" s="1"/>
  <c r="I24" i="10" s="1"/>
  <c r="J24" i="10" s="1"/>
  <c r="K24" i="10" s="1"/>
  <c r="L24" i="10" s="1"/>
  <c r="D25" i="10"/>
  <c r="E25" i="10" s="1"/>
  <c r="F25" i="10" s="1"/>
  <c r="G25" i="10" s="1"/>
  <c r="H25" i="10" s="1"/>
  <c r="I25" i="10" s="1"/>
  <c r="J25" i="10" s="1"/>
  <c r="K25" i="10" s="1"/>
  <c r="L25" i="10" s="1"/>
  <c r="D26" i="10"/>
  <c r="E26" i="10" s="1"/>
  <c r="F26" i="10" s="1"/>
  <c r="G26" i="10" s="1"/>
  <c r="H26" i="10" s="1"/>
  <c r="I26" i="10" s="1"/>
  <c r="J26" i="10" s="1"/>
  <c r="K26" i="10" s="1"/>
  <c r="L26" i="10" s="1"/>
  <c r="D27" i="10"/>
  <c r="E27" i="10" s="1"/>
  <c r="F27" i="10" s="1"/>
  <c r="G27" i="10" s="1"/>
  <c r="H27" i="10" s="1"/>
  <c r="I27" i="10" s="1"/>
  <c r="J27" i="10" s="1"/>
  <c r="K27" i="10" s="1"/>
  <c r="L27" i="10" s="1"/>
  <c r="D28" i="10"/>
  <c r="E28" i="10" s="1"/>
  <c r="F28" i="10" s="1"/>
  <c r="G28" i="10" s="1"/>
  <c r="H28" i="10" s="1"/>
  <c r="I28" i="10" s="1"/>
  <c r="J28" i="10" s="1"/>
  <c r="K28" i="10" s="1"/>
  <c r="L28" i="10" s="1"/>
  <c r="D29" i="10"/>
  <c r="E29" i="10" s="1"/>
  <c r="F29" i="10" s="1"/>
  <c r="G29" i="10" s="1"/>
  <c r="H29" i="10" s="1"/>
  <c r="I29" i="10" s="1"/>
  <c r="J29" i="10" s="1"/>
  <c r="K29" i="10" s="1"/>
  <c r="L29" i="10" s="1"/>
  <c r="D30" i="10"/>
  <c r="E30" i="10" s="1"/>
  <c r="F30" i="10" s="1"/>
  <c r="G30" i="10" s="1"/>
  <c r="H30" i="10" s="1"/>
  <c r="I30" i="10" s="1"/>
  <c r="J30" i="10" s="1"/>
  <c r="K30" i="10" s="1"/>
  <c r="L30" i="10" s="1"/>
  <c r="D31" i="10"/>
  <c r="E31" i="10" s="1"/>
  <c r="F31" i="10" s="1"/>
  <c r="G31" i="10" s="1"/>
  <c r="H31" i="10" s="1"/>
  <c r="I31" i="10" s="1"/>
  <c r="J31" i="10" s="1"/>
  <c r="K31" i="10" s="1"/>
  <c r="L31" i="10" s="1"/>
  <c r="D32" i="10"/>
  <c r="E32" i="10" s="1"/>
  <c r="F32" i="10" s="1"/>
  <c r="G32" i="10" s="1"/>
  <c r="H32" i="10" s="1"/>
  <c r="I32" i="10" s="1"/>
  <c r="J32" i="10" s="1"/>
  <c r="K32" i="10" s="1"/>
  <c r="L32" i="10" s="1"/>
  <c r="D33" i="10"/>
  <c r="E33" i="10" s="1"/>
  <c r="F33" i="10" s="1"/>
  <c r="G33" i="10" s="1"/>
  <c r="H33" i="10" s="1"/>
  <c r="I33" i="10" s="1"/>
  <c r="J33" i="10" s="1"/>
  <c r="K33" i="10" s="1"/>
  <c r="L33" i="10" s="1"/>
  <c r="D34" i="10"/>
  <c r="E34" i="10" s="1"/>
  <c r="F34" i="10" s="1"/>
  <c r="G34" i="10" s="1"/>
  <c r="H34" i="10" s="1"/>
  <c r="I34" i="10" s="1"/>
  <c r="J34" i="10" s="1"/>
  <c r="K34" i="10" s="1"/>
  <c r="L34" i="10" s="1"/>
  <c r="D35" i="10"/>
  <c r="E35" i="10" s="1"/>
  <c r="F35" i="10" s="1"/>
  <c r="G35" i="10" s="1"/>
  <c r="H35" i="10" s="1"/>
  <c r="I35" i="10" s="1"/>
  <c r="J35" i="10" s="1"/>
  <c r="K35" i="10" s="1"/>
  <c r="L35" i="10" s="1"/>
  <c r="D36" i="10"/>
  <c r="E36" i="10" s="1"/>
  <c r="F36" i="10" s="1"/>
  <c r="G36" i="10" s="1"/>
  <c r="H36" i="10" s="1"/>
  <c r="I36" i="10" s="1"/>
  <c r="J36" i="10" s="1"/>
  <c r="K36" i="10" s="1"/>
  <c r="L36" i="10" s="1"/>
  <c r="D37" i="10"/>
  <c r="E37" i="10" s="1"/>
  <c r="F37" i="10" s="1"/>
  <c r="G37" i="10" s="1"/>
  <c r="H37" i="10" s="1"/>
  <c r="I37" i="10" s="1"/>
  <c r="J37" i="10" s="1"/>
  <c r="K37" i="10" s="1"/>
  <c r="L37" i="10" s="1"/>
  <c r="D38" i="10"/>
  <c r="E38" i="10" s="1"/>
  <c r="F38" i="10" s="1"/>
  <c r="G38" i="10" s="1"/>
  <c r="H38" i="10" s="1"/>
  <c r="I38" i="10" s="1"/>
  <c r="J38" i="10" s="1"/>
  <c r="K38" i="10" s="1"/>
  <c r="L38" i="10" s="1"/>
  <c r="D39" i="10"/>
  <c r="E39" i="10" s="1"/>
  <c r="F39" i="10" s="1"/>
  <c r="G39" i="10" s="1"/>
  <c r="H39" i="10" s="1"/>
  <c r="I39" i="10" s="1"/>
  <c r="J39" i="10" s="1"/>
  <c r="K39" i="10" s="1"/>
  <c r="L39" i="10" s="1"/>
  <c r="D21" i="10"/>
  <c r="E21" i="10" s="1"/>
  <c r="F21" i="10" s="1"/>
  <c r="G21" i="10" s="1"/>
  <c r="H21" i="10" s="1"/>
  <c r="I21" i="10" s="1"/>
  <c r="J21" i="10" s="1"/>
  <c r="K21" i="10" s="1"/>
  <c r="L21" i="10" s="1"/>
  <c r="D94" i="10"/>
  <c r="E94" i="10" s="1"/>
  <c r="F94" i="10" s="1"/>
  <c r="G94" i="10" s="1"/>
  <c r="H94" i="10" s="1"/>
  <c r="I94" i="10" s="1"/>
  <c r="J94" i="10" s="1"/>
  <c r="K94" i="10" s="1"/>
  <c r="L94" i="10" s="1"/>
  <c r="D129" i="10"/>
  <c r="E129" i="10" s="1"/>
  <c r="F129" i="10" s="1"/>
  <c r="G129" i="10" s="1"/>
  <c r="H129" i="10" s="1"/>
  <c r="I129" i="10" s="1"/>
  <c r="J129" i="10" s="1"/>
  <c r="K129" i="10" s="1"/>
  <c r="L129" i="10" s="1"/>
  <c r="D110" i="10"/>
  <c r="D103" i="10"/>
  <c r="E103" i="10" s="1"/>
  <c r="F103" i="10" s="1"/>
  <c r="G103" i="10" s="1"/>
  <c r="H103" i="10" s="1"/>
  <c r="I103" i="10" s="1"/>
  <c r="J103" i="10" s="1"/>
  <c r="K103" i="10" s="1"/>
  <c r="L103" i="10" s="1"/>
  <c r="F46" i="9"/>
  <c r="D153" i="17" l="1"/>
  <c r="F153" i="17"/>
  <c r="F133" i="13"/>
  <c r="D134" i="13" s="1"/>
  <c r="G46" i="9"/>
  <c r="E110" i="10"/>
  <c r="E133" i="13"/>
  <c r="G133" i="13" s="1"/>
  <c r="D42" i="11"/>
  <c r="D154" i="17" l="1"/>
  <c r="E153" i="17"/>
  <c r="G153" i="17" s="1"/>
  <c r="H46" i="9"/>
  <c r="F110" i="10"/>
  <c r="E134" i="13"/>
  <c r="F134" i="13"/>
  <c r="L118" i="10"/>
  <c r="L117" i="10" s="1"/>
  <c r="B9" i="1"/>
  <c r="B8" i="1" s="1"/>
  <c r="B4" i="1"/>
  <c r="B15" i="1"/>
  <c r="B29" i="2"/>
  <c r="B42" i="2"/>
  <c r="B23" i="2"/>
  <c r="B9" i="2"/>
  <c r="B3" i="2"/>
  <c r="G3" i="2"/>
  <c r="J18" i="9" s="1"/>
  <c r="F3" i="2"/>
  <c r="I18" i="9" s="1"/>
  <c r="H3" i="2"/>
  <c r="K18" i="9" s="1"/>
  <c r="I3" i="2"/>
  <c r="L18" i="9" s="1"/>
  <c r="J3" i="2"/>
  <c r="M18" i="9" s="1"/>
  <c r="K3" i="2"/>
  <c r="N18" i="9" s="1"/>
  <c r="E154" i="17" l="1"/>
  <c r="G154" i="17" s="1"/>
  <c r="F154" i="17"/>
  <c r="G134" i="13"/>
  <c r="B3" i="1"/>
  <c r="I46" i="9"/>
  <c r="G110" i="10"/>
  <c r="D135" i="13"/>
  <c r="D155" i="17" l="1"/>
  <c r="C3" i="1"/>
  <c r="J46" i="9"/>
  <c r="H110" i="10"/>
  <c r="E135" i="13"/>
  <c r="F135" i="13"/>
  <c r="C15" i="10"/>
  <c r="C16" i="10"/>
  <c r="C17" i="10"/>
  <c r="C18" i="10"/>
  <c r="C14" i="10"/>
  <c r="C39" i="8"/>
  <c r="AE20" i="8"/>
  <c r="AM20" i="8" s="1"/>
  <c r="AM19" i="8" s="1"/>
  <c r="L47" i="8" s="1"/>
  <c r="AE18" i="8"/>
  <c r="AM18" i="8" s="1"/>
  <c r="AE17" i="8"/>
  <c r="AM17" i="8" s="1"/>
  <c r="AE15" i="8"/>
  <c r="AF15" i="8" s="1"/>
  <c r="AE14" i="8"/>
  <c r="AM14" i="8" s="1"/>
  <c r="AE13" i="8"/>
  <c r="AM13" i="8" s="1"/>
  <c r="AE11" i="8"/>
  <c r="AM11" i="8" s="1"/>
  <c r="AE10" i="8"/>
  <c r="AJ10" i="8" s="1"/>
  <c r="C3" i="8"/>
  <c r="AE4" i="8"/>
  <c r="AG4" i="8" s="1"/>
  <c r="AE5" i="8"/>
  <c r="AF5" i="8" s="1"/>
  <c r="E155" i="17" l="1"/>
  <c r="F155" i="17"/>
  <c r="G135" i="13"/>
  <c r="AI15" i="8"/>
  <c r="AH15" i="8"/>
  <c r="D3" i="1"/>
  <c r="K46" i="9"/>
  <c r="AM15" i="8"/>
  <c r="AL15" i="8"/>
  <c r="AJ18" i="8"/>
  <c r="AF11" i="8"/>
  <c r="AG11" i="8"/>
  <c r="AK11" i="8"/>
  <c r="AL11" i="8"/>
  <c r="AM16" i="8"/>
  <c r="L46" i="8" s="1"/>
  <c r="AH11" i="8"/>
  <c r="AJ11" i="8"/>
  <c r="AJ9" i="8" s="1"/>
  <c r="I44" i="8" s="1"/>
  <c r="AF18" i="8"/>
  <c r="I110" i="10"/>
  <c r="D136" i="13"/>
  <c r="AG13" i="8"/>
  <c r="AL13" i="8"/>
  <c r="AL10" i="8"/>
  <c r="AL5" i="8"/>
  <c r="AL4" i="8"/>
  <c r="AJ4" i="8"/>
  <c r="AI4" i="8"/>
  <c r="AM4" i="8"/>
  <c r="AK4" i="8"/>
  <c r="AE3" i="8"/>
  <c r="D42" i="8" s="1"/>
  <c r="AE19" i="8"/>
  <c r="D47" i="8" s="1"/>
  <c r="D18" i="10" s="1"/>
  <c r="AG17" i="8"/>
  <c r="AK17" i="8"/>
  <c r="AF17" i="8"/>
  <c r="AJ17" i="8"/>
  <c r="AF20" i="8"/>
  <c r="AF19" i="8" s="1"/>
  <c r="E47" i="8" s="1"/>
  <c r="AJ20" i="8"/>
  <c r="AJ19" i="8" s="1"/>
  <c r="I47" i="8" s="1"/>
  <c r="AG14" i="8"/>
  <c r="AJ14" i="8"/>
  <c r="AK14" i="8"/>
  <c r="AM12" i="8"/>
  <c r="L45" i="8" s="1"/>
  <c r="AF14" i="8"/>
  <c r="AH13" i="8"/>
  <c r="AJ13" i="8"/>
  <c r="AF13" i="8"/>
  <c r="AK13" i="8"/>
  <c r="AE12" i="8"/>
  <c r="D45" i="8" s="1"/>
  <c r="AG20" i="8"/>
  <c r="AG19" i="8" s="1"/>
  <c r="F47" i="8" s="1"/>
  <c r="AK20" i="8"/>
  <c r="AK19" i="8" s="1"/>
  <c r="J47" i="8" s="1"/>
  <c r="AH20" i="8"/>
  <c r="AH19" i="8" s="1"/>
  <c r="G47" i="8" s="1"/>
  <c r="AL20" i="8"/>
  <c r="AL19" i="8" s="1"/>
  <c r="K47" i="8" s="1"/>
  <c r="AI20" i="8"/>
  <c r="AI19" i="8" s="1"/>
  <c r="H47" i="8" s="1"/>
  <c r="AE16" i="8"/>
  <c r="D46" i="8" s="1"/>
  <c r="AH17" i="8"/>
  <c r="AL17" i="8"/>
  <c r="AG18" i="8"/>
  <c r="AK18" i="8"/>
  <c r="AK16" i="8" s="1"/>
  <c r="J46" i="8" s="1"/>
  <c r="AI17" i="8"/>
  <c r="AH18" i="8"/>
  <c r="AL18" i="8"/>
  <c r="AI18" i="8"/>
  <c r="AK15" i="8"/>
  <c r="AG15" i="8"/>
  <c r="AJ15" i="8"/>
  <c r="AI13" i="8"/>
  <c r="AH14" i="8"/>
  <c r="AL14" i="8"/>
  <c r="AI14" i="8"/>
  <c r="AE9" i="8"/>
  <c r="D44" i="8" s="1"/>
  <c r="AG10" i="8"/>
  <c r="AH10" i="8"/>
  <c r="AK10" i="8"/>
  <c r="AI10" i="8"/>
  <c r="AM10" i="8"/>
  <c r="AM9" i="8" s="1"/>
  <c r="L44" i="8" s="1"/>
  <c r="AF10" i="8"/>
  <c r="AF9" i="8" s="1"/>
  <c r="E44" i="8" s="1"/>
  <c r="AI11" i="8"/>
  <c r="AH4" i="8"/>
  <c r="AF4" i="8"/>
  <c r="AF3" i="8" s="1"/>
  <c r="E42" i="8" s="1"/>
  <c r="AM5" i="8"/>
  <c r="AK5" i="8"/>
  <c r="AI5" i="8"/>
  <c r="AH5" i="8"/>
  <c r="AG5" i="8"/>
  <c r="AG3" i="8" s="1"/>
  <c r="F42" i="8" s="1"/>
  <c r="AJ5" i="8"/>
  <c r="D156" i="17" l="1"/>
  <c r="G155" i="17"/>
  <c r="AF16" i="8"/>
  <c r="E46" i="8" s="1"/>
  <c r="AH9" i="8"/>
  <c r="G44" i="8" s="1"/>
  <c r="AG9" i="8"/>
  <c r="F44" i="8" s="1"/>
  <c r="F136" i="13"/>
  <c r="D137" i="13" s="1"/>
  <c r="F137" i="13" s="1"/>
  <c r="AJ16" i="8"/>
  <c r="I46" i="8" s="1"/>
  <c r="E3" i="1"/>
  <c r="L46" i="9"/>
  <c r="AM3" i="8"/>
  <c r="AM21" i="8" s="1"/>
  <c r="AK9" i="8"/>
  <c r="J44" i="8" s="1"/>
  <c r="AL9" i="8"/>
  <c r="K44" i="8" s="1"/>
  <c r="D7" i="10"/>
  <c r="D41" i="8"/>
  <c r="F17" i="9" s="1"/>
  <c r="AL12" i="8"/>
  <c r="K45" i="8" s="1"/>
  <c r="J110" i="10"/>
  <c r="E136" i="13"/>
  <c r="AI3" i="8"/>
  <c r="H42" i="8" s="1"/>
  <c r="AG16" i="8"/>
  <c r="F46" i="8" s="1"/>
  <c r="AL3" i="8"/>
  <c r="K42" i="8" s="1"/>
  <c r="AJ3" i="8"/>
  <c r="I42" i="8" s="1"/>
  <c r="AH3" i="8"/>
  <c r="G42" i="8" s="1"/>
  <c r="AK3" i="8"/>
  <c r="J42" i="8" s="1"/>
  <c r="AE21" i="8"/>
  <c r="E18" i="10"/>
  <c r="F18" i="10" s="1"/>
  <c r="G18" i="10" s="1"/>
  <c r="H18" i="10" s="1"/>
  <c r="I18" i="10" s="1"/>
  <c r="J18" i="10" s="1"/>
  <c r="K18" i="10" s="1"/>
  <c r="L18" i="10" s="1"/>
  <c r="AG12" i="8"/>
  <c r="F45" i="8" s="1"/>
  <c r="AJ12" i="8"/>
  <c r="I45" i="8" s="1"/>
  <c r="AI16" i="8"/>
  <c r="H46" i="8" s="1"/>
  <c r="AH16" i="8"/>
  <c r="G46" i="8" s="1"/>
  <c r="AK12" i="8"/>
  <c r="J45" i="8" s="1"/>
  <c r="AH12" i="8"/>
  <c r="G45" i="8" s="1"/>
  <c r="AI12" i="8"/>
  <c r="H45" i="8" s="1"/>
  <c r="AF12" i="8"/>
  <c r="E45" i="8" s="1"/>
  <c r="E41" i="8" s="1"/>
  <c r="G17" i="9" s="1"/>
  <c r="AL16" i="8"/>
  <c r="K46" i="8" s="1"/>
  <c r="AI9" i="8"/>
  <c r="H44" i="8" s="1"/>
  <c r="C16" i="8"/>
  <c r="D17" i="10" s="1"/>
  <c r="E17" i="10" s="1"/>
  <c r="E156" i="17" l="1"/>
  <c r="F156" i="17"/>
  <c r="G136" i="13"/>
  <c r="L42" i="8"/>
  <c r="L41" i="8" s="1"/>
  <c r="N17" i="9" s="1"/>
  <c r="E7" i="10"/>
  <c r="F3" i="1"/>
  <c r="M46" i="9"/>
  <c r="F17" i="10"/>
  <c r="G17" i="10" s="1"/>
  <c r="H17" i="10" s="1"/>
  <c r="I17" i="10" s="1"/>
  <c r="J17" i="10" s="1"/>
  <c r="K17" i="10" s="1"/>
  <c r="L17" i="10" s="1"/>
  <c r="K41" i="8"/>
  <c r="M17" i="9" s="1"/>
  <c r="AG21" i="8"/>
  <c r="F41" i="8"/>
  <c r="H17" i="9" s="1"/>
  <c r="K110" i="10"/>
  <c r="D138" i="13"/>
  <c r="E137" i="13"/>
  <c r="G137" i="13" s="1"/>
  <c r="I41" i="8"/>
  <c r="K17" i="9" s="1"/>
  <c r="AF21" i="8"/>
  <c r="AJ21" i="8"/>
  <c r="J41" i="8"/>
  <c r="L17" i="9" s="1"/>
  <c r="H41" i="8"/>
  <c r="J17" i="9" s="1"/>
  <c r="AI21" i="8"/>
  <c r="AK21" i="8"/>
  <c r="AL21" i="8"/>
  <c r="AH21" i="8"/>
  <c r="G41" i="8"/>
  <c r="I17" i="9" s="1"/>
  <c r="D38" i="8"/>
  <c r="C13" i="10"/>
  <c r="B46" i="11"/>
  <c r="D157" i="17" l="1"/>
  <c r="F157" i="17" s="1"/>
  <c r="G156" i="17"/>
  <c r="F7" i="10"/>
  <c r="G3" i="1"/>
  <c r="N46" i="9"/>
  <c r="L110" i="10"/>
  <c r="E138" i="13"/>
  <c r="F138" i="13"/>
  <c r="E38" i="8"/>
  <c r="D158" i="17" l="1"/>
  <c r="E157" i="17"/>
  <c r="G157" i="17" s="1"/>
  <c r="G7" i="10"/>
  <c r="H3" i="1"/>
  <c r="G138" i="13"/>
  <c r="D139" i="13"/>
  <c r="F139" i="13" s="1"/>
  <c r="F38" i="8"/>
  <c r="E158" i="17" l="1"/>
  <c r="G158" i="17" s="1"/>
  <c r="F158" i="17"/>
  <c r="H7" i="10"/>
  <c r="I3" i="1"/>
  <c r="E139" i="13"/>
  <c r="D140" i="13"/>
  <c r="G38" i="8"/>
  <c r="D159" i="17" l="1"/>
  <c r="F140" i="13"/>
  <c r="D141" i="13" s="1"/>
  <c r="F141" i="13" s="1"/>
  <c r="I7" i="10"/>
  <c r="K3" i="1"/>
  <c r="J3" i="1"/>
  <c r="E140" i="13"/>
  <c r="G139" i="13"/>
  <c r="H38" i="8"/>
  <c r="E159" i="17" l="1"/>
  <c r="G159" i="17" s="1"/>
  <c r="F159" i="17"/>
  <c r="G140" i="13"/>
  <c r="J7" i="10"/>
  <c r="D142" i="13"/>
  <c r="E141" i="13"/>
  <c r="G141" i="13" s="1"/>
  <c r="I38" i="8"/>
  <c r="D160" i="17" l="1"/>
  <c r="F160" i="17" s="1"/>
  <c r="F142" i="13"/>
  <c r="D143" i="13" s="1"/>
  <c r="K7" i="10"/>
  <c r="E142" i="13"/>
  <c r="J38" i="8"/>
  <c r="D161" i="17" l="1"/>
  <c r="F161" i="17" s="1"/>
  <c r="E160" i="17"/>
  <c r="G160" i="17" s="1"/>
  <c r="G142" i="13"/>
  <c r="F143" i="13"/>
  <c r="D144" i="13" s="1"/>
  <c r="L7" i="10"/>
  <c r="E143" i="13"/>
  <c r="G143" i="13" s="1"/>
  <c r="K38" i="8"/>
  <c r="D162" i="17" l="1"/>
  <c r="F162" i="17" s="1"/>
  <c r="E161" i="17"/>
  <c r="G161" i="17"/>
  <c r="E144" i="13"/>
  <c r="F144" i="13"/>
  <c r="L38" i="8"/>
  <c r="D163" i="17" l="1"/>
  <c r="E162" i="17"/>
  <c r="G162" i="17" s="1"/>
  <c r="I55" i="17"/>
  <c r="I67" i="17"/>
  <c r="I79" i="17"/>
  <c r="I91" i="17"/>
  <c r="I103" i="17"/>
  <c r="I115" i="17"/>
  <c r="I127" i="17"/>
  <c r="I139" i="17"/>
  <c r="I151" i="17"/>
  <c r="I162" i="17"/>
  <c r="G144" i="13"/>
  <c r="D145" i="13"/>
  <c r="I102" i="17" l="1"/>
  <c r="I114" i="17" s="1"/>
  <c r="I126" i="17" s="1"/>
  <c r="I138" i="17" s="1"/>
  <c r="I150" i="17" s="1"/>
  <c r="J55" i="17"/>
  <c r="J67" i="17"/>
  <c r="J79" i="17"/>
  <c r="J91" i="17"/>
  <c r="J103" i="17"/>
  <c r="J115" i="17"/>
  <c r="J127" i="17"/>
  <c r="J139" i="17"/>
  <c r="J151" i="17"/>
  <c r="J162" i="17"/>
  <c r="E163" i="17"/>
  <c r="G163" i="17" s="1"/>
  <c r="I163" i="17"/>
  <c r="F163" i="17"/>
  <c r="F145" i="13"/>
  <c r="D146" i="13" s="1"/>
  <c r="D30" i="11"/>
  <c r="E145" i="13"/>
  <c r="J102" i="17" l="1"/>
  <c r="J114" i="17" s="1"/>
  <c r="J126" i="17" s="1"/>
  <c r="J138" i="17" s="1"/>
  <c r="J150" i="17" s="1"/>
  <c r="J163" i="17" s="1"/>
  <c r="D164" i="17"/>
  <c r="F164" i="17" s="1"/>
  <c r="G145" i="13"/>
  <c r="E146" i="13"/>
  <c r="F146" i="13"/>
  <c r="C50" i="11"/>
  <c r="K6" i="12"/>
  <c r="K7" i="12"/>
  <c r="K8" i="12"/>
  <c r="K10" i="12"/>
  <c r="K11" i="12"/>
  <c r="K21" i="12"/>
  <c r="D165" i="17" l="1"/>
  <c r="E164" i="17"/>
  <c r="G164" i="17" s="1"/>
  <c r="G146" i="13"/>
  <c r="D147" i="13"/>
  <c r="C105" i="10"/>
  <c r="C104" i="10" s="1"/>
  <c r="D49" i="11"/>
  <c r="E165" i="17" l="1"/>
  <c r="G165" i="17" s="1"/>
  <c r="F165" i="17"/>
  <c r="F147" i="13"/>
  <c r="D148" i="13" s="1"/>
  <c r="E147" i="13"/>
  <c r="D10" i="11"/>
  <c r="E10" i="11"/>
  <c r="F10" i="11"/>
  <c r="G10" i="11"/>
  <c r="H10" i="11"/>
  <c r="I10" i="11"/>
  <c r="J10" i="11"/>
  <c r="K10" i="11"/>
  <c r="L10" i="11"/>
  <c r="C10" i="11"/>
  <c r="D11" i="11"/>
  <c r="E11" i="11"/>
  <c r="F11" i="11"/>
  <c r="G11" i="11"/>
  <c r="H11" i="11"/>
  <c r="I11" i="11"/>
  <c r="J11" i="11"/>
  <c r="K11" i="11"/>
  <c r="L11" i="11"/>
  <c r="C11" i="11"/>
  <c r="D7" i="11"/>
  <c r="E7" i="11"/>
  <c r="F7" i="11"/>
  <c r="G7" i="11"/>
  <c r="H7" i="11"/>
  <c r="I7" i="11"/>
  <c r="J7" i="11"/>
  <c r="K7" i="11"/>
  <c r="L7" i="11"/>
  <c r="I26" i="11"/>
  <c r="J26" i="11"/>
  <c r="K26" i="11"/>
  <c r="L26" i="11"/>
  <c r="C25" i="11"/>
  <c r="B49" i="9"/>
  <c r="B50" i="9"/>
  <c r="L82" i="10"/>
  <c r="L69" i="10"/>
  <c r="L64" i="10"/>
  <c r="L51" i="10"/>
  <c r="E8" i="11"/>
  <c r="F8" i="11"/>
  <c r="G8" i="11"/>
  <c r="H8" i="11"/>
  <c r="I8" i="11"/>
  <c r="J8" i="11"/>
  <c r="K8" i="11"/>
  <c r="L8" i="11"/>
  <c r="E13" i="11"/>
  <c r="F13" i="11"/>
  <c r="G13" i="11"/>
  <c r="H13" i="11"/>
  <c r="I13" i="11"/>
  <c r="J13" i="11"/>
  <c r="K13" i="11"/>
  <c r="E17" i="11"/>
  <c r="F17" i="11"/>
  <c r="G17" i="11"/>
  <c r="H17" i="11"/>
  <c r="I17" i="11"/>
  <c r="J17" i="11"/>
  <c r="K17" i="11"/>
  <c r="L17" i="11"/>
  <c r="D17" i="11"/>
  <c r="D13" i="11"/>
  <c r="D8" i="11"/>
  <c r="C8" i="11"/>
  <c r="J21" i="12"/>
  <c r="I21" i="12"/>
  <c r="H21" i="12"/>
  <c r="G21" i="12"/>
  <c r="F21" i="12"/>
  <c r="E21" i="12"/>
  <c r="D21" i="12"/>
  <c r="C21" i="12"/>
  <c r="J11" i="12"/>
  <c r="I11" i="12"/>
  <c r="H11" i="12"/>
  <c r="G11" i="12"/>
  <c r="F11" i="12"/>
  <c r="E11" i="12"/>
  <c r="D11" i="12"/>
  <c r="C11" i="12"/>
  <c r="B11" i="12"/>
  <c r="J10" i="12"/>
  <c r="I10" i="12"/>
  <c r="H10" i="12"/>
  <c r="G10" i="12"/>
  <c r="F10" i="12"/>
  <c r="E10" i="12"/>
  <c r="D10" i="12"/>
  <c r="C10" i="12"/>
  <c r="B10" i="12"/>
  <c r="J8" i="12"/>
  <c r="I8" i="12"/>
  <c r="H8" i="12"/>
  <c r="G8" i="12"/>
  <c r="F8" i="12"/>
  <c r="E8" i="12"/>
  <c r="D8" i="12"/>
  <c r="C8" i="12"/>
  <c r="B8" i="12"/>
  <c r="J7" i="12"/>
  <c r="I7" i="12"/>
  <c r="H7" i="12"/>
  <c r="G7" i="12"/>
  <c r="F7" i="12"/>
  <c r="E7" i="12"/>
  <c r="D7" i="12"/>
  <c r="C7" i="12"/>
  <c r="B7" i="12"/>
  <c r="J6" i="12"/>
  <c r="I6" i="12"/>
  <c r="H6" i="12"/>
  <c r="G6" i="12"/>
  <c r="F6" i="12"/>
  <c r="E6" i="12"/>
  <c r="D6" i="12"/>
  <c r="C6" i="12"/>
  <c r="B6" i="12"/>
  <c r="J3" i="12"/>
  <c r="I3" i="12"/>
  <c r="H3" i="12"/>
  <c r="G3" i="12"/>
  <c r="F3" i="12"/>
  <c r="E3" i="12"/>
  <c r="D3" i="12"/>
  <c r="C3" i="12"/>
  <c r="B3" i="12"/>
  <c r="J2" i="12"/>
  <c r="I2" i="12"/>
  <c r="H2" i="12"/>
  <c r="G2" i="12"/>
  <c r="F2" i="12"/>
  <c r="E2" i="12"/>
  <c r="D2" i="12"/>
  <c r="C2" i="12"/>
  <c r="B2" i="12"/>
  <c r="B50" i="11"/>
  <c r="B49" i="11"/>
  <c r="B48" i="11"/>
  <c r="B47" i="11"/>
  <c r="D45" i="11"/>
  <c r="E45" i="11" s="1"/>
  <c r="B45" i="11"/>
  <c r="B44" i="11"/>
  <c r="B41" i="11"/>
  <c r="B40" i="11"/>
  <c r="B38" i="11"/>
  <c r="D33" i="11"/>
  <c r="B33" i="11"/>
  <c r="B30" i="11"/>
  <c r="D29" i="11"/>
  <c r="E29" i="11" s="1"/>
  <c r="F29" i="11" s="1"/>
  <c r="G29" i="11" s="1"/>
  <c r="H29" i="11" s="1"/>
  <c r="I29" i="11" s="1"/>
  <c r="J29" i="11" s="1"/>
  <c r="K29" i="11" s="1"/>
  <c r="L29" i="11" s="1"/>
  <c r="B29" i="11"/>
  <c r="D27" i="11"/>
  <c r="E27" i="11" s="1"/>
  <c r="F27" i="11" s="1"/>
  <c r="G27" i="11" s="1"/>
  <c r="H27" i="11" s="1"/>
  <c r="I27" i="11" s="1"/>
  <c r="J27" i="11" s="1"/>
  <c r="K27" i="11" s="1"/>
  <c r="L27" i="11" s="1"/>
  <c r="B27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9" i="11"/>
  <c r="B8" i="11"/>
  <c r="B5" i="11"/>
  <c r="A4" i="11"/>
  <c r="A2" i="11"/>
  <c r="A1" i="11"/>
  <c r="B134" i="10"/>
  <c r="B116" i="10"/>
  <c r="C102" i="10"/>
  <c r="K82" i="10"/>
  <c r="J82" i="10"/>
  <c r="I82" i="10"/>
  <c r="H82" i="10"/>
  <c r="G82" i="10"/>
  <c r="F82" i="10"/>
  <c r="E82" i="10"/>
  <c r="D82" i="10"/>
  <c r="C82" i="10"/>
  <c r="B82" i="10"/>
  <c r="B80" i="10"/>
  <c r="K69" i="10"/>
  <c r="J69" i="10"/>
  <c r="I69" i="10"/>
  <c r="H69" i="10"/>
  <c r="G69" i="10"/>
  <c r="F69" i="10"/>
  <c r="E69" i="10"/>
  <c r="D69" i="10"/>
  <c r="K64" i="10"/>
  <c r="J64" i="10"/>
  <c r="I64" i="10"/>
  <c r="H64" i="10"/>
  <c r="G64" i="10"/>
  <c r="F64" i="10"/>
  <c r="E64" i="10"/>
  <c r="D64" i="10"/>
  <c r="K51" i="10"/>
  <c r="J51" i="10"/>
  <c r="I51" i="10"/>
  <c r="H51" i="10"/>
  <c r="G51" i="10"/>
  <c r="F51" i="10"/>
  <c r="E51" i="10"/>
  <c r="D51" i="10"/>
  <c r="B42" i="10"/>
  <c r="B18" i="10"/>
  <c r="B17" i="10"/>
  <c r="B16" i="10"/>
  <c r="B15" i="10"/>
  <c r="B14" i="10"/>
  <c r="B13" i="10"/>
  <c r="B5" i="10"/>
  <c r="B26" i="9"/>
  <c r="B59" i="9"/>
  <c r="B58" i="9"/>
  <c r="B57" i="9"/>
  <c r="B56" i="9"/>
  <c r="F53" i="9"/>
  <c r="B54" i="9"/>
  <c r="N53" i="9"/>
  <c r="M53" i="9"/>
  <c r="L53" i="9"/>
  <c r="K53" i="9"/>
  <c r="J53" i="9"/>
  <c r="I53" i="9"/>
  <c r="H53" i="9"/>
  <c r="G53" i="9"/>
  <c r="D53" i="9"/>
  <c r="B53" i="9"/>
  <c r="B52" i="9"/>
  <c r="B46" i="9"/>
  <c r="B45" i="9"/>
  <c r="B43" i="9"/>
  <c r="B42" i="9"/>
  <c r="B41" i="9"/>
  <c r="B40" i="9"/>
  <c r="L23" i="11"/>
  <c r="J23" i="11"/>
  <c r="I23" i="11"/>
  <c r="H23" i="11"/>
  <c r="E23" i="11"/>
  <c r="D23" i="11"/>
  <c r="B39" i="9"/>
  <c r="B38" i="9"/>
  <c r="B37" i="9"/>
  <c r="K23" i="11"/>
  <c r="G23" i="11"/>
  <c r="F23" i="11"/>
  <c r="C23" i="11"/>
  <c r="B36" i="9"/>
  <c r="B35" i="9"/>
  <c r="G31" i="9"/>
  <c r="B34" i="9"/>
  <c r="B32" i="9"/>
  <c r="F31" i="9"/>
  <c r="D31" i="9"/>
  <c r="B31" i="9"/>
  <c r="F27" i="9"/>
  <c r="B30" i="9"/>
  <c r="K27" i="9"/>
  <c r="H27" i="9"/>
  <c r="G27" i="9"/>
  <c r="B29" i="9"/>
  <c r="J27" i="9"/>
  <c r="I27" i="9"/>
  <c r="B24" i="9"/>
  <c r="B23" i="9"/>
  <c r="B21" i="9"/>
  <c r="B20" i="9"/>
  <c r="B19" i="9"/>
  <c r="B18" i="9"/>
  <c r="B11" i="9"/>
  <c r="B10" i="9"/>
  <c r="B8" i="9"/>
  <c r="D166" i="17" l="1"/>
  <c r="F166" i="17" s="1"/>
  <c r="F148" i="13"/>
  <c r="D149" i="13" s="1"/>
  <c r="G147" i="13"/>
  <c r="O21" i="12"/>
  <c r="L21" i="12"/>
  <c r="N21" i="12"/>
  <c r="M21" i="12"/>
  <c r="E31" i="9"/>
  <c r="T31" i="9"/>
  <c r="E53" i="9"/>
  <c r="T53" i="9"/>
  <c r="E148" i="13"/>
  <c r="G148" i="13" s="1"/>
  <c r="L13" i="11"/>
  <c r="L27" i="9"/>
  <c r="M27" i="9"/>
  <c r="H31" i="9"/>
  <c r="D14" i="11"/>
  <c r="C42" i="10"/>
  <c r="F45" i="11"/>
  <c r="G45" i="11" s="1"/>
  <c r="H45" i="11" s="1"/>
  <c r="I45" i="11" s="1"/>
  <c r="J45" i="11" s="1"/>
  <c r="K45" i="11" s="1"/>
  <c r="L45" i="11" s="1"/>
  <c r="F14" i="11"/>
  <c r="N27" i="9"/>
  <c r="D167" i="17" l="1"/>
  <c r="E166" i="17"/>
  <c r="G166" i="17" s="1"/>
  <c r="F149" i="13"/>
  <c r="D150" i="13" s="1"/>
  <c r="P21" i="12"/>
  <c r="E149" i="13"/>
  <c r="E14" i="11"/>
  <c r="G14" i="11"/>
  <c r="I31" i="9"/>
  <c r="E167" i="17" l="1"/>
  <c r="G167" i="17"/>
  <c r="F167" i="17"/>
  <c r="G149" i="13"/>
  <c r="E150" i="13"/>
  <c r="F150" i="13"/>
  <c r="A39" i="13"/>
  <c r="H14" i="11"/>
  <c r="J31" i="9"/>
  <c r="D168" i="17" l="1"/>
  <c r="D151" i="13"/>
  <c r="G150" i="13"/>
  <c r="I14" i="11"/>
  <c r="K31" i="9"/>
  <c r="E168" i="17" l="1"/>
  <c r="G168" i="17" s="1"/>
  <c r="F168" i="17"/>
  <c r="E151" i="13"/>
  <c r="F151" i="13"/>
  <c r="J14" i="11"/>
  <c r="L31" i="9"/>
  <c r="D169" i="17" l="1"/>
  <c r="F169" i="17" s="1"/>
  <c r="D152" i="13"/>
  <c r="G151" i="13"/>
  <c r="K14" i="11"/>
  <c r="L14" i="11"/>
  <c r="N31" i="9"/>
  <c r="M31" i="9"/>
  <c r="D170" i="17" l="1"/>
  <c r="E169" i="17"/>
  <c r="G169" i="17" s="1"/>
  <c r="E152" i="13"/>
  <c r="F152" i="13"/>
  <c r="E170" i="17" l="1"/>
  <c r="G170" i="17" s="1"/>
  <c r="F170" i="17"/>
  <c r="D153" i="13"/>
  <c r="G152" i="13"/>
  <c r="G19" i="9"/>
  <c r="H19" i="9"/>
  <c r="F9" i="2"/>
  <c r="I19" i="9" s="1"/>
  <c r="G9" i="2"/>
  <c r="J19" i="9" s="1"/>
  <c r="H9" i="2"/>
  <c r="K19" i="9" s="1"/>
  <c r="I9" i="2"/>
  <c r="L19" i="9" s="1"/>
  <c r="J9" i="2"/>
  <c r="M19" i="9" s="1"/>
  <c r="K9" i="2"/>
  <c r="N19" i="9" s="1"/>
  <c r="F20" i="9"/>
  <c r="G20" i="9"/>
  <c r="H20" i="9"/>
  <c r="F23" i="2"/>
  <c r="I20" i="9" s="1"/>
  <c r="G23" i="2"/>
  <c r="J20" i="9" s="1"/>
  <c r="H23" i="2"/>
  <c r="K20" i="9" s="1"/>
  <c r="I23" i="2"/>
  <c r="L20" i="9" s="1"/>
  <c r="J23" i="2"/>
  <c r="M20" i="9" s="1"/>
  <c r="K23" i="2"/>
  <c r="N20" i="9" s="1"/>
  <c r="F24" i="9"/>
  <c r="D42" i="2"/>
  <c r="G24" i="9" s="1"/>
  <c r="E42" i="2"/>
  <c r="H24" i="9" s="1"/>
  <c r="F42" i="2"/>
  <c r="I24" i="9" s="1"/>
  <c r="G42" i="2"/>
  <c r="J24" i="9" s="1"/>
  <c r="H42" i="2"/>
  <c r="K24" i="9" s="1"/>
  <c r="I42" i="2"/>
  <c r="L24" i="9" s="1"/>
  <c r="J42" i="2"/>
  <c r="M24" i="9" s="1"/>
  <c r="K42" i="2"/>
  <c r="N24" i="9" s="1"/>
  <c r="C19" i="8"/>
  <c r="C12" i="8"/>
  <c r="D16" i="10" s="1"/>
  <c r="E16" i="10" s="1"/>
  <c r="F16" i="10" s="1"/>
  <c r="G16" i="10" s="1"/>
  <c r="H16" i="10" s="1"/>
  <c r="I16" i="10" s="1"/>
  <c r="J16" i="10" s="1"/>
  <c r="K16" i="10" s="1"/>
  <c r="L16" i="10" s="1"/>
  <c r="C9" i="8"/>
  <c r="C6" i="8"/>
  <c r="L9" i="9"/>
  <c r="K9" i="9"/>
  <c r="J9" i="9"/>
  <c r="G9" i="9"/>
  <c r="N9" i="9"/>
  <c r="F9" i="9"/>
  <c r="D171" i="17" l="1"/>
  <c r="F153" i="13"/>
  <c r="D15" i="10"/>
  <c r="E15" i="10" s="1"/>
  <c r="F15" i="10" s="1"/>
  <c r="G15" i="10" s="1"/>
  <c r="H15" i="10" s="1"/>
  <c r="I15" i="10" s="1"/>
  <c r="J15" i="10" s="1"/>
  <c r="K15" i="10" s="1"/>
  <c r="L15" i="10" s="1"/>
  <c r="D154" i="13"/>
  <c r="E153" i="13"/>
  <c r="G153" i="13" s="1"/>
  <c r="D14" i="10"/>
  <c r="E14" i="10" s="1"/>
  <c r="F14" i="10" s="1"/>
  <c r="G14" i="10" s="1"/>
  <c r="H14" i="10" s="1"/>
  <c r="I14" i="10" s="1"/>
  <c r="J14" i="10" s="1"/>
  <c r="K14" i="10" s="1"/>
  <c r="L14" i="10" s="1"/>
  <c r="C22" i="8"/>
  <c r="G47" i="11"/>
  <c r="H47" i="11"/>
  <c r="K47" i="11"/>
  <c r="I47" i="11"/>
  <c r="J47" i="11"/>
  <c r="E47" i="11"/>
  <c r="C12" i="10"/>
  <c r="C6" i="10" s="1"/>
  <c r="C43" i="11"/>
  <c r="F47" i="11"/>
  <c r="L47" i="11"/>
  <c r="K12" i="9"/>
  <c r="G12" i="9"/>
  <c r="I9" i="9"/>
  <c r="M9" i="9"/>
  <c r="N12" i="9"/>
  <c r="N14" i="9"/>
  <c r="H14" i="9"/>
  <c r="H12" i="9"/>
  <c r="H9" i="9"/>
  <c r="L14" i="9"/>
  <c r="L12" i="9"/>
  <c r="G14" i="9"/>
  <c r="K14" i="9"/>
  <c r="E171" i="17" l="1"/>
  <c r="G171" i="17" s="1"/>
  <c r="F171" i="17"/>
  <c r="N11" i="13"/>
  <c r="L7" i="9"/>
  <c r="N7" i="9"/>
  <c r="K7" i="9"/>
  <c r="D43" i="11"/>
  <c r="D47" i="11" s="1"/>
  <c r="C23" i="8"/>
  <c r="C24" i="8" s="1"/>
  <c r="C47" i="11"/>
  <c r="G12" i="13"/>
  <c r="K11" i="13"/>
  <c r="L51" i="9" s="1"/>
  <c r="G11" i="13"/>
  <c r="H51" i="9" s="1"/>
  <c r="E154" i="13"/>
  <c r="G154" i="13" s="1"/>
  <c r="F154" i="13"/>
  <c r="E13" i="10"/>
  <c r="E12" i="10" s="1"/>
  <c r="E6" i="10" s="1"/>
  <c r="I13" i="10"/>
  <c r="I12" i="10" s="1"/>
  <c r="I6" i="10" s="1"/>
  <c r="H13" i="10"/>
  <c r="H12" i="10" s="1"/>
  <c r="H6" i="10" s="1"/>
  <c r="G13" i="10"/>
  <c r="G12" i="10" s="1"/>
  <c r="G6" i="10" s="1"/>
  <c r="J13" i="10"/>
  <c r="J12" i="10" s="1"/>
  <c r="J6" i="10" s="1"/>
  <c r="L13" i="10"/>
  <c r="L12" i="10" s="1"/>
  <c r="L6" i="10" s="1"/>
  <c r="F13" i="10"/>
  <c r="F12" i="10" s="1"/>
  <c r="F6" i="10" s="1"/>
  <c r="K13" i="10"/>
  <c r="K12" i="10" s="1"/>
  <c r="K6" i="10" s="1"/>
  <c r="C80" i="10"/>
  <c r="H7" i="9"/>
  <c r="M14" i="9"/>
  <c r="M12" i="9"/>
  <c r="I14" i="9"/>
  <c r="I12" i="9"/>
  <c r="G7" i="9"/>
  <c r="D7" i="9"/>
  <c r="J12" i="9"/>
  <c r="J14" i="9"/>
  <c r="D172" i="17" l="1"/>
  <c r="F6" i="11"/>
  <c r="L6" i="11"/>
  <c r="I7" i="9"/>
  <c r="E7" i="9"/>
  <c r="T7" i="9"/>
  <c r="E6" i="11"/>
  <c r="M7" i="9"/>
  <c r="I6" i="11"/>
  <c r="J6" i="11"/>
  <c r="C6" i="11"/>
  <c r="H11" i="13"/>
  <c r="I51" i="9" s="1"/>
  <c r="I11" i="13"/>
  <c r="J51" i="9" s="1"/>
  <c r="I12" i="13"/>
  <c r="M11" i="13"/>
  <c r="N51" i="9" s="1"/>
  <c r="L11" i="13"/>
  <c r="M51" i="9" s="1"/>
  <c r="J11" i="13"/>
  <c r="K51" i="9" s="1"/>
  <c r="H12" i="13"/>
  <c r="D155" i="13"/>
  <c r="D13" i="10"/>
  <c r="D12" i="10" s="1"/>
  <c r="D6" i="10" s="1"/>
  <c r="J7" i="9"/>
  <c r="E172" i="17" l="1"/>
  <c r="G172" i="17" s="1"/>
  <c r="F172" i="17"/>
  <c r="F155" i="13"/>
  <c r="D156" i="13" s="1"/>
  <c r="K6" i="11"/>
  <c r="H6" i="11"/>
  <c r="G6" i="11"/>
  <c r="E155" i="13"/>
  <c r="G155" i="13" s="1"/>
  <c r="D173" i="17" l="1"/>
  <c r="F173" i="17"/>
  <c r="E156" i="13"/>
  <c r="G156" i="13" s="1"/>
  <c r="F156" i="13"/>
  <c r="D174" i="17" l="1"/>
  <c r="F174" i="17"/>
  <c r="E173" i="17"/>
  <c r="G173" i="17" s="1"/>
  <c r="D157" i="13"/>
  <c r="D175" i="17" l="1"/>
  <c r="F175" i="17" s="1"/>
  <c r="E174" i="17"/>
  <c r="G174" i="17" s="1"/>
  <c r="F157" i="13"/>
  <c r="D158" i="13" s="1"/>
  <c r="E157" i="13"/>
  <c r="G157" i="13" s="1"/>
  <c r="D176" i="17" l="1"/>
  <c r="E175" i="17"/>
  <c r="G175" i="17" s="1"/>
  <c r="E158" i="13"/>
  <c r="F158" i="13"/>
  <c r="D55" i="10"/>
  <c r="E176" i="17" l="1"/>
  <c r="G176" i="17" s="1"/>
  <c r="F176" i="17"/>
  <c r="G158" i="13"/>
  <c r="D159" i="13"/>
  <c r="D177" i="17" l="1"/>
  <c r="F159" i="13"/>
  <c r="D160" i="13" s="1"/>
  <c r="E159" i="13"/>
  <c r="F55" i="10"/>
  <c r="E177" i="17" l="1"/>
  <c r="G177" i="17" s="1"/>
  <c r="F177" i="17"/>
  <c r="G159" i="13"/>
  <c r="E160" i="13"/>
  <c r="G160" i="13" s="1"/>
  <c r="F160" i="13"/>
  <c r="G55" i="10"/>
  <c r="D178" i="17" l="1"/>
  <c r="D161" i="13"/>
  <c r="F161" i="13" s="1"/>
  <c r="H55" i="10"/>
  <c r="E178" i="17" l="1"/>
  <c r="G178" i="17" s="1"/>
  <c r="F178" i="17"/>
  <c r="D162" i="13"/>
  <c r="E161" i="13"/>
  <c r="I55" i="10"/>
  <c r="D179" i="17" l="1"/>
  <c r="F179" i="17" s="1"/>
  <c r="I55" i="13"/>
  <c r="F34" i="11" s="1"/>
  <c r="I43" i="13"/>
  <c r="E34" i="11" s="1"/>
  <c r="I127" i="13"/>
  <c r="I139" i="13"/>
  <c r="I151" i="13"/>
  <c r="I162" i="13"/>
  <c r="I67" i="13"/>
  <c r="G34" i="11" s="1"/>
  <c r="I79" i="13"/>
  <c r="H34" i="11" s="1"/>
  <c r="I91" i="13"/>
  <c r="I34" i="11" s="1"/>
  <c r="I103" i="13"/>
  <c r="J34" i="11" s="1"/>
  <c r="I115" i="13"/>
  <c r="K34" i="11" s="1"/>
  <c r="G161" i="13"/>
  <c r="E162" i="13"/>
  <c r="F162" i="13"/>
  <c r="J55" i="10"/>
  <c r="D118" i="10" l="1"/>
  <c r="D106" i="10"/>
  <c r="D105" i="10" s="1"/>
  <c r="D104" i="10" s="1"/>
  <c r="D102" i="10" s="1"/>
  <c r="D180" i="17"/>
  <c r="F180" i="17" s="1"/>
  <c r="E179" i="17"/>
  <c r="G179" i="17"/>
  <c r="E30" i="11"/>
  <c r="J151" i="13"/>
  <c r="J43" i="13"/>
  <c r="E118" i="10"/>
  <c r="I102" i="13"/>
  <c r="I114" i="13" s="1"/>
  <c r="I126" i="13" s="1"/>
  <c r="I138" i="13" s="1"/>
  <c r="I150" i="13" s="1"/>
  <c r="I163" i="13" s="1"/>
  <c r="D163" i="13"/>
  <c r="E163" i="13" s="1"/>
  <c r="G163" i="13" s="1"/>
  <c r="J55" i="13"/>
  <c r="J67" i="13"/>
  <c r="G25" i="11" s="1"/>
  <c r="I47" i="9" s="1"/>
  <c r="J79" i="13"/>
  <c r="H25" i="11" s="1"/>
  <c r="J47" i="9" s="1"/>
  <c r="J91" i="13"/>
  <c r="I25" i="11" s="1"/>
  <c r="K47" i="9" s="1"/>
  <c r="J103" i="13"/>
  <c r="J25" i="11" s="1"/>
  <c r="L47" i="9" s="1"/>
  <c r="J115" i="13"/>
  <c r="K25" i="11" s="1"/>
  <c r="M47" i="9" s="1"/>
  <c r="J127" i="13"/>
  <c r="L25" i="11" s="1"/>
  <c r="N47" i="9" s="1"/>
  <c r="J139" i="13"/>
  <c r="J162" i="13"/>
  <c r="G162" i="13"/>
  <c r="F30" i="11"/>
  <c r="K55" i="10"/>
  <c r="E25" i="11" l="1"/>
  <c r="G47" i="9" s="1"/>
  <c r="F25" i="11"/>
  <c r="H47" i="9" s="1"/>
  <c r="E106" i="10"/>
  <c r="D181" i="17"/>
  <c r="E180" i="17"/>
  <c r="G180" i="17" s="1"/>
  <c r="F163" i="13"/>
  <c r="D164" i="13" s="1"/>
  <c r="E164" i="13" s="1"/>
  <c r="G164" i="13" s="1"/>
  <c r="J102" i="13"/>
  <c r="J114" i="13" s="1"/>
  <c r="L55" i="10"/>
  <c r="E55" i="10"/>
  <c r="E181" i="17" l="1"/>
  <c r="G181" i="17" s="1"/>
  <c r="F181" i="17"/>
  <c r="F164" i="13"/>
  <c r="D165" i="13" s="1"/>
  <c r="F165" i="13" s="1"/>
  <c r="J126" i="13"/>
  <c r="J138" i="13" s="1"/>
  <c r="J150" i="13" s="1"/>
  <c r="J163" i="13" s="1"/>
  <c r="D26" i="9"/>
  <c r="D182" i="17" l="1"/>
  <c r="D166" i="13"/>
  <c r="F166" i="13" s="1"/>
  <c r="E165" i="13"/>
  <c r="G165" i="13" s="1"/>
  <c r="T26" i="9"/>
  <c r="E26" i="9"/>
  <c r="E182" i="17" l="1"/>
  <c r="G182" i="17" s="1"/>
  <c r="F182" i="17"/>
  <c r="D167" i="13"/>
  <c r="F167" i="13"/>
  <c r="E166" i="13"/>
  <c r="G166" i="13" s="1"/>
  <c r="F118" i="10"/>
  <c r="F106" i="10" s="1"/>
  <c r="G30" i="11"/>
  <c r="D183" i="17" l="1"/>
  <c r="F183" i="17"/>
  <c r="D168" i="13"/>
  <c r="E168" i="13" s="1"/>
  <c r="G168" i="13" s="1"/>
  <c r="E167" i="13"/>
  <c r="G167" i="13" s="1"/>
  <c r="D184" i="17" l="1"/>
  <c r="F184" i="17" s="1"/>
  <c r="E183" i="17"/>
  <c r="G183" i="17" s="1"/>
  <c r="F168" i="13"/>
  <c r="D169" i="13" s="1"/>
  <c r="F169" i="13" s="1"/>
  <c r="G118" i="10"/>
  <c r="G106" i="10" s="1"/>
  <c r="H30" i="11"/>
  <c r="D185" i="17" l="1"/>
  <c r="E184" i="17"/>
  <c r="G184" i="17" s="1"/>
  <c r="D170" i="13"/>
  <c r="F170" i="13"/>
  <c r="E169" i="13"/>
  <c r="G169" i="13" s="1"/>
  <c r="E185" i="17" l="1"/>
  <c r="G185" i="17" s="1"/>
  <c r="F185" i="17"/>
  <c r="D171" i="13"/>
  <c r="F171" i="13" s="1"/>
  <c r="E170" i="13"/>
  <c r="G170" i="13" s="1"/>
  <c r="H118" i="10"/>
  <c r="H106" i="10" s="1"/>
  <c r="I30" i="11"/>
  <c r="K45" i="9"/>
  <c r="D186" i="17" l="1"/>
  <c r="F186" i="17" s="1"/>
  <c r="D172" i="13"/>
  <c r="E172" i="13" s="1"/>
  <c r="G172" i="13" s="1"/>
  <c r="E171" i="13"/>
  <c r="G171" i="13" s="1"/>
  <c r="K44" i="9"/>
  <c r="K16" i="9" s="1"/>
  <c r="D187" i="17" l="1"/>
  <c r="E186" i="17"/>
  <c r="G186" i="17" s="1"/>
  <c r="F172" i="13"/>
  <c r="D173" i="13" s="1"/>
  <c r="E173" i="13" s="1"/>
  <c r="G173" i="13" s="1"/>
  <c r="I24" i="11"/>
  <c r="I40" i="11" s="1"/>
  <c r="E187" i="17" l="1"/>
  <c r="G187" i="17" s="1"/>
  <c r="F187" i="17"/>
  <c r="F173" i="13"/>
  <c r="D174" i="13" s="1"/>
  <c r="F174" i="13" s="1"/>
  <c r="D188" i="17" l="1"/>
  <c r="F188" i="17" s="1"/>
  <c r="D175" i="13"/>
  <c r="F175" i="13" s="1"/>
  <c r="E174" i="13"/>
  <c r="G174" i="13" s="1"/>
  <c r="L45" i="9"/>
  <c r="I118" i="10"/>
  <c r="I106" i="10" s="1"/>
  <c r="J30" i="11"/>
  <c r="D189" i="17" l="1"/>
  <c r="F189" i="17" s="1"/>
  <c r="E188" i="17"/>
  <c r="G188" i="17" s="1"/>
  <c r="D176" i="13"/>
  <c r="E176" i="13" s="1"/>
  <c r="G176" i="13" s="1"/>
  <c r="F176" i="13"/>
  <c r="E175" i="13"/>
  <c r="G175" i="13" s="1"/>
  <c r="L44" i="9"/>
  <c r="L16" i="9" s="1"/>
  <c r="I117" i="10"/>
  <c r="D190" i="17" l="1"/>
  <c r="E189" i="17"/>
  <c r="G189" i="17" s="1"/>
  <c r="D177" i="13"/>
  <c r="F177" i="13" s="1"/>
  <c r="J24" i="11"/>
  <c r="J40" i="11" s="1"/>
  <c r="E190" i="17" l="1"/>
  <c r="G190" i="17" s="1"/>
  <c r="F190" i="17"/>
  <c r="D178" i="13"/>
  <c r="F178" i="13" s="1"/>
  <c r="E177" i="13"/>
  <c r="G177" i="13" s="1"/>
  <c r="D191" i="17" l="1"/>
  <c r="D179" i="13"/>
  <c r="F179" i="13" s="1"/>
  <c r="E178" i="13"/>
  <c r="G178" i="13" s="1"/>
  <c r="J118" i="10"/>
  <c r="K30" i="11"/>
  <c r="M45" i="9"/>
  <c r="E191" i="17" l="1"/>
  <c r="G191" i="17" s="1"/>
  <c r="F191" i="17"/>
  <c r="D180" i="13"/>
  <c r="E180" i="13" s="1"/>
  <c r="G180" i="13" s="1"/>
  <c r="E179" i="13"/>
  <c r="G179" i="13" s="1"/>
  <c r="M44" i="9"/>
  <c r="M16" i="9" s="1"/>
  <c r="J106" i="10"/>
  <c r="J117" i="10"/>
  <c r="F180" i="13" l="1"/>
  <c r="D192" i="17"/>
  <c r="F192" i="17" s="1"/>
  <c r="D181" i="13"/>
  <c r="F181" i="13" s="1"/>
  <c r="K24" i="11"/>
  <c r="K40" i="11" s="1"/>
  <c r="D193" i="17" l="1"/>
  <c r="F193" i="17" s="1"/>
  <c r="E192" i="17"/>
  <c r="G192" i="17" s="1"/>
  <c r="D182" i="13"/>
  <c r="F182" i="13" s="1"/>
  <c r="E181" i="13"/>
  <c r="G181" i="13" s="1"/>
  <c r="D194" i="17" l="1"/>
  <c r="E193" i="17"/>
  <c r="G193" i="17" s="1"/>
  <c r="D183" i="13"/>
  <c r="F183" i="13" s="1"/>
  <c r="E182" i="13"/>
  <c r="G182" i="13" s="1"/>
  <c r="K118" i="10"/>
  <c r="L30" i="11"/>
  <c r="N45" i="9"/>
  <c r="E194" i="17" l="1"/>
  <c r="G194" i="17" s="1"/>
  <c r="F194" i="17"/>
  <c r="D184" i="13"/>
  <c r="E184" i="13" s="1"/>
  <c r="G184" i="13" s="1"/>
  <c r="E183" i="13"/>
  <c r="G183" i="13" s="1"/>
  <c r="N44" i="9"/>
  <c r="N16" i="9" s="1"/>
  <c r="K106" i="10"/>
  <c r="K117" i="10"/>
  <c r="D195" i="17" l="1"/>
  <c r="F184" i="13"/>
  <c r="D185" i="13" s="1"/>
  <c r="L24" i="11"/>
  <c r="L40" i="11" s="1"/>
  <c r="L106" i="10"/>
  <c r="E195" i="17" l="1"/>
  <c r="G195" i="17" s="1"/>
  <c r="F195" i="17"/>
  <c r="F185" i="13"/>
  <c r="D186" i="13"/>
  <c r="F186" i="13" s="1"/>
  <c r="E185" i="13"/>
  <c r="G185" i="13" s="1"/>
  <c r="C7" i="11"/>
  <c r="D27" i="9"/>
  <c r="D196" i="17" l="1"/>
  <c r="D187" i="13"/>
  <c r="F187" i="13"/>
  <c r="E186" i="13"/>
  <c r="G186" i="13" s="1"/>
  <c r="E27" i="9"/>
  <c r="T27" i="9"/>
  <c r="D35" i="9"/>
  <c r="E196" i="17" l="1"/>
  <c r="G196" i="17" s="1"/>
  <c r="F196" i="17"/>
  <c r="D188" i="13"/>
  <c r="E188" i="13" s="1"/>
  <c r="G188" i="13" s="1"/>
  <c r="F188" i="13"/>
  <c r="E187" i="13"/>
  <c r="G187" i="13" s="1"/>
  <c r="D52" i="9"/>
  <c r="T35" i="9"/>
  <c r="E35" i="9"/>
  <c r="D197" i="17" l="1"/>
  <c r="F197" i="17" s="1"/>
  <c r="D189" i="13"/>
  <c r="F189" i="13" s="1"/>
  <c r="C19" i="11"/>
  <c r="D198" i="17" l="1"/>
  <c r="F198" i="17" s="1"/>
  <c r="E197" i="17"/>
  <c r="G197" i="17" s="1"/>
  <c r="D190" i="13"/>
  <c r="F190" i="13"/>
  <c r="E189" i="13"/>
  <c r="G189" i="13" s="1"/>
  <c r="H117" i="10"/>
  <c r="J48" i="9"/>
  <c r="E117" i="10"/>
  <c r="H48" i="9"/>
  <c r="F117" i="10"/>
  <c r="G117" i="10"/>
  <c r="F48" i="9"/>
  <c r="G48" i="9"/>
  <c r="I48" i="9"/>
  <c r="E198" i="17" l="1"/>
  <c r="G198" i="17"/>
  <c r="D199" i="17"/>
  <c r="Q48" i="9"/>
  <c r="F45" i="9"/>
  <c r="F44" i="9" s="1"/>
  <c r="D191" i="13"/>
  <c r="F191" i="13" s="1"/>
  <c r="E190" i="13"/>
  <c r="G190" i="13" s="1"/>
  <c r="F26" i="11"/>
  <c r="D26" i="11"/>
  <c r="G26" i="11"/>
  <c r="D117" i="10"/>
  <c r="L105" i="10"/>
  <c r="L104" i="10" s="1"/>
  <c r="L102" i="10" s="1"/>
  <c r="H45" i="9"/>
  <c r="H26" i="11"/>
  <c r="J45" i="9"/>
  <c r="G45" i="9"/>
  <c r="E26" i="11"/>
  <c r="I45" i="9"/>
  <c r="E199" i="17" l="1"/>
  <c r="G199" i="17" s="1"/>
  <c r="F199" i="17"/>
  <c r="S48" i="9"/>
  <c r="Q45" i="9"/>
  <c r="Q44" i="9" s="1"/>
  <c r="D192" i="13"/>
  <c r="E192" i="13" s="1"/>
  <c r="G192" i="13" s="1"/>
  <c r="E191" i="13"/>
  <c r="G191" i="13" s="1"/>
  <c r="J44" i="9"/>
  <c r="J16" i="9" s="1"/>
  <c r="I44" i="9"/>
  <c r="I16" i="9" s="1"/>
  <c r="G44" i="9"/>
  <c r="H44" i="9"/>
  <c r="E105" i="10"/>
  <c r="E104" i="10" s="1"/>
  <c r="E102" i="10" s="1"/>
  <c r="S45" i="9" l="1"/>
  <c r="D200" i="17"/>
  <c r="F192" i="13"/>
  <c r="S44" i="9"/>
  <c r="E24" i="11"/>
  <c r="G24" i="11"/>
  <c r="F24" i="11"/>
  <c r="F40" i="11" s="1"/>
  <c r="H24" i="11"/>
  <c r="D24" i="11"/>
  <c r="F105" i="10"/>
  <c r="F104" i="10" s="1"/>
  <c r="F102" i="10" s="1"/>
  <c r="E200" i="17" l="1"/>
  <c r="G200" i="17" s="1"/>
  <c r="F200" i="17"/>
  <c r="D193" i="13"/>
  <c r="F193" i="13"/>
  <c r="G40" i="11"/>
  <c r="H40" i="11"/>
  <c r="E40" i="11"/>
  <c r="D40" i="11"/>
  <c r="G105" i="10"/>
  <c r="G104" i="10" s="1"/>
  <c r="G102" i="10" s="1"/>
  <c r="D201" i="17" l="1"/>
  <c r="F201" i="17" s="1"/>
  <c r="D194" i="13"/>
  <c r="F194" i="13" s="1"/>
  <c r="E193" i="13"/>
  <c r="G193" i="13" s="1"/>
  <c r="H105" i="10"/>
  <c r="H104" i="10" s="1"/>
  <c r="H102" i="10" s="1"/>
  <c r="D202" i="17" l="1"/>
  <c r="F202" i="17" s="1"/>
  <c r="E201" i="17"/>
  <c r="G201" i="17" s="1"/>
  <c r="D195" i="13"/>
  <c r="F195" i="13" s="1"/>
  <c r="E194" i="13"/>
  <c r="G194" i="13" s="1"/>
  <c r="I105" i="10"/>
  <c r="I104" i="10" s="1"/>
  <c r="I102" i="10" s="1"/>
  <c r="D203" i="17" l="1"/>
  <c r="E202" i="17"/>
  <c r="G202" i="17" s="1"/>
  <c r="D196" i="13"/>
  <c r="E196" i="13" s="1"/>
  <c r="G196" i="13" s="1"/>
  <c r="E195" i="13"/>
  <c r="G195" i="13" s="1"/>
  <c r="K105" i="10"/>
  <c r="K104" i="10" s="1"/>
  <c r="K102" i="10" s="1"/>
  <c r="J105" i="10"/>
  <c r="J104" i="10" s="1"/>
  <c r="J102" i="10" s="1"/>
  <c r="E203" i="17" l="1"/>
  <c r="G203" i="17" s="1"/>
  <c r="F203" i="17"/>
  <c r="F196" i="13"/>
  <c r="D197" i="13" s="1"/>
  <c r="F197" i="13" s="1"/>
  <c r="F12" i="9"/>
  <c r="F14" i="9"/>
  <c r="D204" i="17" l="1"/>
  <c r="F204" i="17"/>
  <c r="D198" i="13"/>
  <c r="F198" i="13"/>
  <c r="E197" i="13"/>
  <c r="G197" i="13" s="1"/>
  <c r="F12" i="13"/>
  <c r="F7" i="9"/>
  <c r="F11" i="13"/>
  <c r="G51" i="9" s="1"/>
  <c r="E11" i="13"/>
  <c r="D205" i="17" l="1"/>
  <c r="E204" i="17"/>
  <c r="G204" i="17" s="1"/>
  <c r="D199" i="13"/>
  <c r="F199" i="13" s="1"/>
  <c r="E198" i="13"/>
  <c r="G198" i="13" s="1"/>
  <c r="D43" i="10"/>
  <c r="E43" i="10" s="1"/>
  <c r="F51" i="9"/>
  <c r="D6" i="11"/>
  <c r="E12" i="13"/>
  <c r="D49" i="10" s="1"/>
  <c r="E205" i="17" l="1"/>
  <c r="G205" i="17" s="1"/>
  <c r="F205" i="17"/>
  <c r="D200" i="13"/>
  <c r="E200" i="13" s="1"/>
  <c r="G200" i="13" s="1"/>
  <c r="E199" i="13"/>
  <c r="G199" i="13" s="1"/>
  <c r="D12" i="11"/>
  <c r="E49" i="10"/>
  <c r="D15" i="11"/>
  <c r="F200" i="13" l="1"/>
  <c r="D206" i="17"/>
  <c r="F206" i="17" s="1"/>
  <c r="D201" i="13"/>
  <c r="F201" i="13"/>
  <c r="E12" i="11"/>
  <c r="F49" i="10"/>
  <c r="E15" i="11"/>
  <c r="F43" i="10"/>
  <c r="D207" i="17" l="1"/>
  <c r="E206" i="17"/>
  <c r="G206" i="17" s="1"/>
  <c r="D202" i="13"/>
  <c r="F202" i="13" s="1"/>
  <c r="E201" i="13"/>
  <c r="G201" i="13" s="1"/>
  <c r="F15" i="11"/>
  <c r="G43" i="10"/>
  <c r="F12" i="11"/>
  <c r="G49" i="10"/>
  <c r="E207" i="17" l="1"/>
  <c r="G207" i="17" s="1"/>
  <c r="F207" i="17"/>
  <c r="D203" i="13"/>
  <c r="F203" i="13" s="1"/>
  <c r="E202" i="13"/>
  <c r="G202" i="13" s="1"/>
  <c r="G15" i="11"/>
  <c r="H43" i="10"/>
  <c r="G12" i="11"/>
  <c r="H49" i="10"/>
  <c r="D208" i="17" l="1"/>
  <c r="D204" i="13"/>
  <c r="E204" i="13" s="1"/>
  <c r="G204" i="13" s="1"/>
  <c r="E203" i="13"/>
  <c r="G203" i="13" s="1"/>
  <c r="H15" i="11"/>
  <c r="I43" i="10"/>
  <c r="H12" i="11"/>
  <c r="I49" i="10"/>
  <c r="E208" i="17" l="1"/>
  <c r="G208" i="17" s="1"/>
  <c r="F208" i="17"/>
  <c r="F204" i="13"/>
  <c r="D205" i="13" s="1"/>
  <c r="F205" i="13" s="1"/>
  <c r="I12" i="11"/>
  <c r="J49" i="10"/>
  <c r="I15" i="11"/>
  <c r="J43" i="10"/>
  <c r="D209" i="17" l="1"/>
  <c r="F209" i="17" s="1"/>
  <c r="D206" i="13"/>
  <c r="F206" i="13" s="1"/>
  <c r="E205" i="13"/>
  <c r="G205" i="13" s="1"/>
  <c r="J15" i="11"/>
  <c r="K43" i="10"/>
  <c r="J12" i="11"/>
  <c r="K49" i="10"/>
  <c r="D210" i="17" l="1"/>
  <c r="F210" i="17" s="1"/>
  <c r="E209" i="17"/>
  <c r="G209" i="17" s="1"/>
  <c r="D207" i="13"/>
  <c r="F207" i="13" s="1"/>
  <c r="E206" i="13"/>
  <c r="G206" i="13" s="1"/>
  <c r="K12" i="11"/>
  <c r="L49" i="10"/>
  <c r="K15" i="11"/>
  <c r="L43" i="10"/>
  <c r="D211" i="17" l="1"/>
  <c r="F211" i="17" s="1"/>
  <c r="E210" i="17"/>
  <c r="G210" i="17" s="1"/>
  <c r="D208" i="13"/>
  <c r="E208" i="13" s="1"/>
  <c r="G208" i="13" s="1"/>
  <c r="E207" i="13"/>
  <c r="G207" i="13" s="1"/>
  <c r="L12" i="11"/>
  <c r="L15" i="11"/>
  <c r="D212" i="17" l="1"/>
  <c r="E211" i="17"/>
  <c r="G211" i="17"/>
  <c r="F208" i="13"/>
  <c r="D209" i="13" s="1"/>
  <c r="F209" i="13" s="1"/>
  <c r="C117" i="10"/>
  <c r="C116" i="10" s="1"/>
  <c r="C109" i="10" s="1"/>
  <c r="E48" i="9"/>
  <c r="C26" i="11"/>
  <c r="T48" i="9"/>
  <c r="D45" i="9"/>
  <c r="E212" i="17" l="1"/>
  <c r="G212" i="17" s="1"/>
  <c r="F212" i="17"/>
  <c r="D210" i="13"/>
  <c r="F210" i="13"/>
  <c r="E209" i="13"/>
  <c r="G209" i="13" s="1"/>
  <c r="T45" i="9"/>
  <c r="B24" i="12"/>
  <c r="C93" i="10"/>
  <c r="B12" i="12" s="1"/>
  <c r="B23" i="12"/>
  <c r="E45" i="9"/>
  <c r="D44" i="9"/>
  <c r="D213" i="17" l="1"/>
  <c r="F213" i="17" s="1"/>
  <c r="D211" i="13"/>
  <c r="F211" i="13"/>
  <c r="E210" i="13"/>
  <c r="G210" i="13" s="1"/>
  <c r="C9" i="11"/>
  <c r="C21" i="11" s="1"/>
  <c r="I13" i="9"/>
  <c r="J13" i="9"/>
  <c r="L13" i="9"/>
  <c r="K13" i="9"/>
  <c r="M13" i="9"/>
  <c r="N13" i="9"/>
  <c r="B13" i="12"/>
  <c r="T44" i="9"/>
  <c r="E44" i="9"/>
  <c r="C24" i="11"/>
  <c r="B26" i="12" s="1"/>
  <c r="G9" i="11" l="1"/>
  <c r="J9" i="11"/>
  <c r="K13" i="17"/>
  <c r="L9" i="11"/>
  <c r="N13" i="17"/>
  <c r="M13" i="17"/>
  <c r="K9" i="11"/>
  <c r="L13" i="17"/>
  <c r="H9" i="11"/>
  <c r="I13" i="17"/>
  <c r="I9" i="11"/>
  <c r="J13" i="17"/>
  <c r="D214" i="17"/>
  <c r="E213" i="17"/>
  <c r="G213" i="17" s="1"/>
  <c r="D212" i="13"/>
  <c r="E212" i="13" s="1"/>
  <c r="G212" i="13" s="1"/>
  <c r="F212" i="13"/>
  <c r="E211" i="13"/>
  <c r="G211" i="13" s="1"/>
  <c r="F18" i="9"/>
  <c r="F16" i="9" s="1"/>
  <c r="K26" i="9"/>
  <c r="J13" i="13"/>
  <c r="I26" i="9"/>
  <c r="M26" i="9"/>
  <c r="L13" i="13"/>
  <c r="L26" i="9"/>
  <c r="K13" i="13"/>
  <c r="J26" i="9"/>
  <c r="I13" i="13"/>
  <c r="N26" i="9"/>
  <c r="N13" i="13"/>
  <c r="M13" i="13"/>
  <c r="E52" i="9"/>
  <c r="T52" i="9"/>
  <c r="D56" i="9"/>
  <c r="C40" i="11"/>
  <c r="C48" i="11" s="1"/>
  <c r="B27" i="12" s="1"/>
  <c r="E214" i="17" l="1"/>
  <c r="G214" i="17" s="1"/>
  <c r="F214" i="17"/>
  <c r="D213" i="13"/>
  <c r="F213" i="13" s="1"/>
  <c r="H18" i="9"/>
  <c r="G18" i="9"/>
  <c r="L35" i="9"/>
  <c r="M35" i="9"/>
  <c r="I35" i="9"/>
  <c r="F26" i="12" s="1"/>
  <c r="N35" i="9"/>
  <c r="J35" i="9"/>
  <c r="G26" i="12" s="1"/>
  <c r="K35" i="9"/>
  <c r="H26" i="12" s="1"/>
  <c r="T56" i="9"/>
  <c r="E56" i="9"/>
  <c r="D59" i="9"/>
  <c r="C52" i="11"/>
  <c r="D215" i="17" l="1"/>
  <c r="F215" i="17"/>
  <c r="D214" i="13"/>
  <c r="F214" i="13"/>
  <c r="E213" i="13"/>
  <c r="G213" i="13" s="1"/>
  <c r="G16" i="9"/>
  <c r="H16" i="9"/>
  <c r="F13" i="9"/>
  <c r="E13" i="17" s="1"/>
  <c r="J52" i="9"/>
  <c r="L52" i="9"/>
  <c r="I26" i="12"/>
  <c r="K52" i="9"/>
  <c r="M52" i="9"/>
  <c r="J26" i="12"/>
  <c r="N52" i="9"/>
  <c r="K26" i="12"/>
  <c r="I52" i="9"/>
  <c r="B19" i="12"/>
  <c r="C91" i="10"/>
  <c r="T59" i="9"/>
  <c r="B17" i="12"/>
  <c r="E59" i="9"/>
  <c r="D216" i="17" l="1"/>
  <c r="F216" i="17" s="1"/>
  <c r="E215" i="17"/>
  <c r="G215" i="17" s="1"/>
  <c r="D215" i="13"/>
  <c r="F215" i="13" s="1"/>
  <c r="E214" i="13"/>
  <c r="G214" i="13" s="1"/>
  <c r="H13" i="9"/>
  <c r="G13" i="9"/>
  <c r="F13" i="17" s="1"/>
  <c r="D9" i="11"/>
  <c r="F26" i="9"/>
  <c r="E13" i="13"/>
  <c r="D120" i="10" s="1"/>
  <c r="D16" i="11" s="1"/>
  <c r="N56" i="9"/>
  <c r="J56" i="9"/>
  <c r="I56" i="9"/>
  <c r="L56" i="9"/>
  <c r="K56" i="9"/>
  <c r="M56" i="9"/>
  <c r="C84" i="10"/>
  <c r="D90" i="10"/>
  <c r="M90" i="10"/>
  <c r="M84" i="10" s="1"/>
  <c r="M83" i="10" s="1"/>
  <c r="M134" i="10" s="1"/>
  <c r="G13" i="17" l="1"/>
  <c r="H13" i="17"/>
  <c r="E216" i="17"/>
  <c r="G216" i="17" s="1"/>
  <c r="D217" i="17"/>
  <c r="D216" i="13"/>
  <c r="E216" i="13" s="1"/>
  <c r="G216" i="13" s="1"/>
  <c r="E215" i="13"/>
  <c r="G215" i="13" s="1"/>
  <c r="D116" i="10"/>
  <c r="D109" i="10" s="1"/>
  <c r="E9" i="11"/>
  <c r="F13" i="13"/>
  <c r="E120" i="10" s="1"/>
  <c r="E16" i="11" s="1"/>
  <c r="G26" i="9"/>
  <c r="F35" i="9"/>
  <c r="F9" i="11"/>
  <c r="H13" i="13"/>
  <c r="G13" i="13"/>
  <c r="H26" i="9"/>
  <c r="M57" i="9"/>
  <c r="I57" i="9"/>
  <c r="J57" i="9"/>
  <c r="N57" i="9"/>
  <c r="K57" i="9"/>
  <c r="L57" i="9"/>
  <c r="C83" i="10"/>
  <c r="D84" i="10"/>
  <c r="E217" i="17" l="1"/>
  <c r="G217" i="17" s="1"/>
  <c r="F217" i="17"/>
  <c r="F216" i="13"/>
  <c r="D217" i="13"/>
  <c r="F217" i="13" s="1"/>
  <c r="F120" i="10"/>
  <c r="C26" i="12"/>
  <c r="F52" i="9"/>
  <c r="G35" i="9"/>
  <c r="H35" i="9"/>
  <c r="E116" i="10"/>
  <c r="E109" i="10" s="1"/>
  <c r="E57" i="10"/>
  <c r="D93" i="10"/>
  <c r="C13" i="12" s="1"/>
  <c r="J59" i="9"/>
  <c r="H19" i="11"/>
  <c r="I59" i="9"/>
  <c r="G19" i="11"/>
  <c r="K19" i="11"/>
  <c r="M59" i="9"/>
  <c r="N59" i="9"/>
  <c r="L19" i="11"/>
  <c r="L59" i="9"/>
  <c r="J19" i="11"/>
  <c r="K59" i="9"/>
  <c r="I19" i="11"/>
  <c r="E84" i="10"/>
  <c r="C134" i="10"/>
  <c r="B5" i="12"/>
  <c r="B20" i="12"/>
  <c r="D218" i="17" l="1"/>
  <c r="F218" i="17" s="1"/>
  <c r="F116" i="10"/>
  <c r="F109" i="10" s="1"/>
  <c r="F93" i="10" s="1"/>
  <c r="E13" i="12" s="1"/>
  <c r="F16" i="11"/>
  <c r="F57" i="10" s="1"/>
  <c r="D218" i="13"/>
  <c r="F218" i="13" s="1"/>
  <c r="E217" i="13"/>
  <c r="G217" i="13" s="1"/>
  <c r="G120" i="10"/>
  <c r="D26" i="12"/>
  <c r="G52" i="9"/>
  <c r="E93" i="10"/>
  <c r="D13" i="12" s="1"/>
  <c r="E26" i="12"/>
  <c r="H52" i="9"/>
  <c r="F56" i="9"/>
  <c r="J91" i="10"/>
  <c r="I17" i="12"/>
  <c r="K91" i="10"/>
  <c r="J17" i="12"/>
  <c r="G91" i="10"/>
  <c r="F17" i="12"/>
  <c r="H91" i="10"/>
  <c r="G17" i="12"/>
  <c r="H17" i="12"/>
  <c r="I91" i="10"/>
  <c r="L91" i="10"/>
  <c r="K17" i="12"/>
  <c r="F84" i="10"/>
  <c r="D219" i="17" l="1"/>
  <c r="E218" i="17"/>
  <c r="G218" i="17" s="1"/>
  <c r="H120" i="10"/>
  <c r="H16" i="11" s="1"/>
  <c r="H21" i="11" s="1"/>
  <c r="H48" i="11" s="1"/>
  <c r="G27" i="12" s="1"/>
  <c r="H52" i="11" s="1"/>
  <c r="G16" i="11"/>
  <c r="G57" i="10" s="1"/>
  <c r="D219" i="13"/>
  <c r="F219" i="13" s="1"/>
  <c r="E218" i="13"/>
  <c r="G218" i="13" s="1"/>
  <c r="G116" i="10"/>
  <c r="G109" i="10" s="1"/>
  <c r="G93" i="10" s="1"/>
  <c r="F13" i="12" s="1"/>
  <c r="H56" i="9"/>
  <c r="G56" i="9"/>
  <c r="N49" i="12"/>
  <c r="L49" i="12"/>
  <c r="O49" i="12"/>
  <c r="M49" i="12"/>
  <c r="F57" i="9"/>
  <c r="N26" i="12"/>
  <c r="M26" i="12"/>
  <c r="L26" i="12"/>
  <c r="O26" i="12"/>
  <c r="G84" i="10"/>
  <c r="I120" i="10" l="1"/>
  <c r="I16" i="11" s="1"/>
  <c r="E219" i="17"/>
  <c r="G219" i="17" s="1"/>
  <c r="F219" i="17"/>
  <c r="H116" i="10"/>
  <c r="H109" i="10" s="1"/>
  <c r="H93" i="10" s="1"/>
  <c r="G13" i="12" s="1"/>
  <c r="D220" i="13"/>
  <c r="E220" i="13" s="1"/>
  <c r="G220" i="13" s="1"/>
  <c r="F220" i="13"/>
  <c r="E219" i="13"/>
  <c r="G219" i="13" s="1"/>
  <c r="G21" i="11"/>
  <c r="G48" i="11" s="1"/>
  <c r="F27" i="12" s="1"/>
  <c r="G52" i="11" s="1"/>
  <c r="P26" i="12"/>
  <c r="H57" i="9"/>
  <c r="F59" i="9"/>
  <c r="D19" i="11"/>
  <c r="D21" i="11" s="1"/>
  <c r="D48" i="11" s="1"/>
  <c r="P49" i="12"/>
  <c r="G57" i="9"/>
  <c r="J120" i="10"/>
  <c r="J16" i="11" s="1"/>
  <c r="I21" i="11"/>
  <c r="I48" i="11" s="1"/>
  <c r="H27" i="12" s="1"/>
  <c r="I52" i="11" s="1"/>
  <c r="H57" i="10"/>
  <c r="H84" i="10"/>
  <c r="I116" i="10" l="1"/>
  <c r="I109" i="10" s="1"/>
  <c r="D220" i="17"/>
  <c r="D221" i="13"/>
  <c r="F221" i="13"/>
  <c r="I57" i="10"/>
  <c r="E19" i="11"/>
  <c r="E21" i="11" s="1"/>
  <c r="E48" i="11" s="1"/>
  <c r="D27" i="12" s="1"/>
  <c r="E52" i="11" s="1"/>
  <c r="G59" i="9"/>
  <c r="I93" i="10"/>
  <c r="H13" i="12" s="1"/>
  <c r="C17" i="12"/>
  <c r="D91" i="10"/>
  <c r="D50" i="11"/>
  <c r="C27" i="12"/>
  <c r="D52" i="11" s="1"/>
  <c r="H59" i="9"/>
  <c r="F19" i="11"/>
  <c r="F21" i="11" s="1"/>
  <c r="F48" i="11" s="1"/>
  <c r="E27" i="12" s="1"/>
  <c r="F52" i="11" s="1"/>
  <c r="K120" i="10"/>
  <c r="K16" i="11" s="1"/>
  <c r="J116" i="10"/>
  <c r="J109" i="10" s="1"/>
  <c r="I84" i="10"/>
  <c r="E220" i="17" l="1"/>
  <c r="G220" i="17" s="1"/>
  <c r="F220" i="17"/>
  <c r="D222" i="13"/>
  <c r="F222" i="13"/>
  <c r="E221" i="13"/>
  <c r="G221" i="13" s="1"/>
  <c r="J93" i="10"/>
  <c r="I13" i="12" s="1"/>
  <c r="J21" i="11"/>
  <c r="J48" i="11" s="1"/>
  <c r="I27" i="12" s="1"/>
  <c r="J52" i="11" s="1"/>
  <c r="J57" i="10"/>
  <c r="E90" i="10"/>
  <c r="D83" i="10"/>
  <c r="D17" i="12"/>
  <c r="E91" i="10"/>
  <c r="E17" i="12"/>
  <c r="F91" i="10"/>
  <c r="L120" i="10"/>
  <c r="L16" i="11" s="1"/>
  <c r="K21" i="11"/>
  <c r="K48" i="11" s="1"/>
  <c r="J27" i="12" s="1"/>
  <c r="K52" i="11" s="1"/>
  <c r="K116" i="10"/>
  <c r="K109" i="10" s="1"/>
  <c r="E49" i="11"/>
  <c r="E50" i="11" s="1"/>
  <c r="D62" i="10"/>
  <c r="J84" i="10"/>
  <c r="D221" i="17" l="1"/>
  <c r="D223" i="13"/>
  <c r="F223" i="13"/>
  <c r="E222" i="13"/>
  <c r="G222" i="13" s="1"/>
  <c r="K57" i="10"/>
  <c r="K93" i="10"/>
  <c r="J13" i="12" s="1"/>
  <c r="M17" i="12"/>
  <c r="L17" i="12"/>
  <c r="N17" i="12"/>
  <c r="O17" i="12"/>
  <c r="L40" i="12"/>
  <c r="O40" i="12"/>
  <c r="N40" i="12"/>
  <c r="M40" i="12"/>
  <c r="C5" i="12"/>
  <c r="C20" i="12"/>
  <c r="D134" i="10"/>
  <c r="E62" i="10"/>
  <c r="F49" i="11"/>
  <c r="F50" i="11" s="1"/>
  <c r="C24" i="12"/>
  <c r="D42" i="10"/>
  <c r="L21" i="11"/>
  <c r="L48" i="11" s="1"/>
  <c r="K27" i="12" s="1"/>
  <c r="L52" i="11" s="1"/>
  <c r="L116" i="10"/>
  <c r="L109" i="10" s="1"/>
  <c r="L93" i="10" s="1"/>
  <c r="E83" i="10"/>
  <c r="F90" i="10"/>
  <c r="K84" i="10"/>
  <c r="E221" i="17" l="1"/>
  <c r="G221" i="17" s="1"/>
  <c r="F221" i="17"/>
  <c r="D224" i="13"/>
  <c r="E224" i="13" s="1"/>
  <c r="G224" i="13" s="1"/>
  <c r="E223" i="13"/>
  <c r="G223" i="13" s="1"/>
  <c r="P40" i="12"/>
  <c r="G49" i="11"/>
  <c r="G50" i="11" s="1"/>
  <c r="F62" i="10"/>
  <c r="E42" i="10"/>
  <c r="D24" i="12"/>
  <c r="G90" i="10"/>
  <c r="F83" i="10"/>
  <c r="D80" i="10"/>
  <c r="C23" i="12"/>
  <c r="K13" i="12"/>
  <c r="D20" i="12"/>
  <c r="E134" i="10"/>
  <c r="D5" i="12"/>
  <c r="P17" i="12"/>
  <c r="L57" i="10"/>
  <c r="L84" i="10"/>
  <c r="D222" i="17" l="1"/>
  <c r="F222" i="17"/>
  <c r="F224" i="13"/>
  <c r="D225" i="13" s="1"/>
  <c r="F225" i="13" s="1"/>
  <c r="M5" i="12"/>
  <c r="L5" i="12"/>
  <c r="O5" i="12"/>
  <c r="N5" i="12"/>
  <c r="D135" i="10"/>
  <c r="D137" i="10" s="1"/>
  <c r="C19" i="12"/>
  <c r="C12" i="12"/>
  <c r="D23" i="12"/>
  <c r="E80" i="10"/>
  <c r="M24" i="12"/>
  <c r="L24" i="12"/>
  <c r="N24" i="12"/>
  <c r="O24" i="12"/>
  <c r="E5" i="12"/>
  <c r="F134" i="10"/>
  <c r="E20" i="12"/>
  <c r="F42" i="10"/>
  <c r="E24" i="12"/>
  <c r="G83" i="10"/>
  <c r="H90" i="10"/>
  <c r="H49" i="11"/>
  <c r="H50" i="11" s="1"/>
  <c r="G62" i="10"/>
  <c r="D223" i="17" l="1"/>
  <c r="F223" i="17" s="1"/>
  <c r="E222" i="17"/>
  <c r="G222" i="17" s="1"/>
  <c r="D226" i="13"/>
  <c r="F226" i="13" s="1"/>
  <c r="E225" i="13"/>
  <c r="G225" i="13" s="1"/>
  <c r="G134" i="10"/>
  <c r="F5" i="12"/>
  <c r="F20" i="12"/>
  <c r="P24" i="12"/>
  <c r="I90" i="10"/>
  <c r="H83" i="10"/>
  <c r="F24" i="12"/>
  <c r="G42" i="10"/>
  <c r="O47" i="12"/>
  <c r="M47" i="12"/>
  <c r="L47" i="12"/>
  <c r="N47" i="12"/>
  <c r="O39" i="12"/>
  <c r="M39" i="12"/>
  <c r="N39" i="12"/>
  <c r="L39" i="12"/>
  <c r="P5" i="12"/>
  <c r="N23" i="12"/>
  <c r="M23" i="12"/>
  <c r="L23" i="12"/>
  <c r="O23" i="12"/>
  <c r="H62" i="10"/>
  <c r="I49" i="11"/>
  <c r="I50" i="11" s="1"/>
  <c r="E23" i="12"/>
  <c r="F80" i="10"/>
  <c r="D19" i="12"/>
  <c r="E135" i="10"/>
  <c r="E137" i="10" s="1"/>
  <c r="D12" i="12"/>
  <c r="D224" i="17" l="1"/>
  <c r="F224" i="17" s="1"/>
  <c r="E223" i="17"/>
  <c r="G223" i="17" s="1"/>
  <c r="D227" i="13"/>
  <c r="F227" i="13" s="1"/>
  <c r="E226" i="13"/>
  <c r="G226" i="13" s="1"/>
  <c r="P39" i="12"/>
  <c r="P23" i="12"/>
  <c r="N46" i="12"/>
  <c r="L46" i="12"/>
  <c r="M46" i="12"/>
  <c r="O46" i="12"/>
  <c r="J49" i="11"/>
  <c r="J50" i="11" s="1"/>
  <c r="I62" i="10"/>
  <c r="P47" i="12"/>
  <c r="G80" i="10"/>
  <c r="F23" i="12"/>
  <c r="L19" i="12"/>
  <c r="O19" i="12"/>
  <c r="N19" i="12"/>
  <c r="M19" i="12"/>
  <c r="G20" i="12"/>
  <c r="H134" i="10"/>
  <c r="G5" i="12"/>
  <c r="G24" i="12"/>
  <c r="H42" i="10"/>
  <c r="F135" i="10"/>
  <c r="F137" i="10" s="1"/>
  <c r="E12" i="12"/>
  <c r="E19" i="12"/>
  <c r="J90" i="10"/>
  <c r="I83" i="10"/>
  <c r="D225" i="17" l="1"/>
  <c r="E224" i="17"/>
  <c r="G224" i="17" s="1"/>
  <c r="D228" i="13"/>
  <c r="E228" i="13" s="1"/>
  <c r="G228" i="13" s="1"/>
  <c r="F228" i="13"/>
  <c r="E227" i="13"/>
  <c r="G227" i="13" s="1"/>
  <c r="I134" i="10"/>
  <c r="H20" i="12"/>
  <c r="H5" i="12"/>
  <c r="K90" i="10"/>
  <c r="J83" i="10"/>
  <c r="G23" i="12"/>
  <c r="H80" i="10"/>
  <c r="P19" i="12"/>
  <c r="B29" i="12" s="1"/>
  <c r="I42" i="10"/>
  <c r="H24" i="12"/>
  <c r="P46" i="12"/>
  <c r="G135" i="10"/>
  <c r="G137" i="10" s="1"/>
  <c r="F19" i="12"/>
  <c r="F12" i="12"/>
  <c r="O42" i="12"/>
  <c r="M42" i="12"/>
  <c r="L42" i="12"/>
  <c r="N42" i="12"/>
  <c r="K49" i="11"/>
  <c r="K50" i="11" s="1"/>
  <c r="J62" i="10"/>
  <c r="E225" i="17" l="1"/>
  <c r="G225" i="17" s="1"/>
  <c r="F225" i="17"/>
  <c r="D229" i="13"/>
  <c r="F229" i="13"/>
  <c r="L49" i="11"/>
  <c r="L50" i="11" s="1"/>
  <c r="L62" i="10" s="1"/>
  <c r="K62" i="10"/>
  <c r="H135" i="10"/>
  <c r="H137" i="10" s="1"/>
  <c r="G12" i="12"/>
  <c r="G19" i="12"/>
  <c r="I24" i="12"/>
  <c r="J42" i="10"/>
  <c r="L90" i="10"/>
  <c r="L83" i="10" s="1"/>
  <c r="K83" i="10"/>
  <c r="P42" i="12"/>
  <c r="C29" i="12" s="1"/>
  <c r="H23" i="12"/>
  <c r="I80" i="10"/>
  <c r="I5" i="12"/>
  <c r="I20" i="12"/>
  <c r="J134" i="10"/>
  <c r="D226" i="17" l="1"/>
  <c r="D230" i="13"/>
  <c r="F230" i="13" s="1"/>
  <c r="E229" i="13"/>
  <c r="G229" i="13" s="1"/>
  <c r="K20" i="12"/>
  <c r="K5" i="12"/>
  <c r="L134" i="10"/>
  <c r="J80" i="10"/>
  <c r="I23" i="12"/>
  <c r="K42" i="10"/>
  <c r="J24" i="12"/>
  <c r="I135" i="10"/>
  <c r="I137" i="10" s="1"/>
  <c r="H19" i="12"/>
  <c r="H12" i="12"/>
  <c r="K134" i="10"/>
  <c r="J20" i="12"/>
  <c r="J5" i="12"/>
  <c r="L42" i="10"/>
  <c r="K24" i="12"/>
  <c r="E226" i="17" l="1"/>
  <c r="G226" i="17" s="1"/>
  <c r="F226" i="17"/>
  <c r="D231" i="13"/>
  <c r="F231" i="13"/>
  <c r="E230" i="13"/>
  <c r="G230" i="13" s="1"/>
  <c r="J135" i="10"/>
  <c r="I12" i="12"/>
  <c r="I19" i="12"/>
  <c r="K80" i="10"/>
  <c r="J23" i="12"/>
  <c r="K23" i="12"/>
  <c r="L80" i="10"/>
  <c r="D227" i="17" l="1"/>
  <c r="F227" i="17" s="1"/>
  <c r="D232" i="13"/>
  <c r="E232" i="13" s="1"/>
  <c r="G232" i="13" s="1"/>
  <c r="F232" i="13"/>
  <c r="E231" i="13"/>
  <c r="G231" i="13" s="1"/>
  <c r="K135" i="10"/>
  <c r="J19" i="12"/>
  <c r="J12" i="12"/>
  <c r="K12" i="12"/>
  <c r="L135" i="10"/>
  <c r="K19" i="12"/>
  <c r="D228" i="17" l="1"/>
  <c r="E227" i="17"/>
  <c r="G227" i="17" s="1"/>
  <c r="D233" i="13"/>
  <c r="F233" i="13" s="1"/>
  <c r="E228" i="17" l="1"/>
  <c r="G228" i="17" s="1"/>
  <c r="F228" i="17"/>
  <c r="D234" i="13"/>
  <c r="F234" i="13" s="1"/>
  <c r="E233" i="13"/>
  <c r="G233" i="13" s="1"/>
  <c r="D229" i="17" l="1"/>
  <c r="F229" i="17" s="1"/>
  <c r="D235" i="13"/>
  <c r="F235" i="13" s="1"/>
  <c r="E234" i="13"/>
  <c r="G234" i="13" s="1"/>
  <c r="E229" i="17" l="1"/>
  <c r="G229" i="17"/>
  <c r="D230" i="17"/>
  <c r="D236" i="13"/>
  <c r="E236" i="13" s="1"/>
  <c r="G236" i="13" s="1"/>
  <c r="F236" i="13"/>
  <c r="E235" i="13"/>
  <c r="G235" i="13" s="1"/>
  <c r="E230" i="17" l="1"/>
  <c r="G230" i="17" s="1"/>
  <c r="F230" i="17"/>
  <c r="D237" i="13"/>
  <c r="F237" i="13" s="1"/>
  <c r="D231" i="17" l="1"/>
  <c r="F231" i="17" s="1"/>
  <c r="D238" i="13"/>
  <c r="F238" i="13" s="1"/>
  <c r="E237" i="13"/>
  <c r="G237" i="13" s="1"/>
  <c r="D232" i="17" l="1"/>
  <c r="F232" i="17" s="1"/>
  <c r="E231" i="17"/>
  <c r="G231" i="17" s="1"/>
  <c r="D239" i="13"/>
  <c r="F239" i="13" s="1"/>
  <c r="E238" i="13"/>
  <c r="G238" i="13" s="1"/>
  <c r="D233" i="17" l="1"/>
  <c r="E232" i="17"/>
  <c r="G232" i="17" s="1"/>
  <c r="D240" i="13"/>
  <c r="E240" i="13" s="1"/>
  <c r="G240" i="13" s="1"/>
  <c r="E239" i="13"/>
  <c r="G239" i="13" s="1"/>
  <c r="F240" i="13" l="1"/>
  <c r="E233" i="17"/>
  <c r="G233" i="17" s="1"/>
  <c r="F233" i="17"/>
  <c r="D241" i="13"/>
  <c r="F241" i="13" s="1"/>
  <c r="D234" i="17" l="1"/>
  <c r="D242" i="13"/>
  <c r="F242" i="13" s="1"/>
  <c r="E241" i="13"/>
  <c r="G241" i="13" s="1"/>
  <c r="E234" i="17" l="1"/>
  <c r="G234" i="17" s="1"/>
  <c r="F234" i="17"/>
  <c r="D243" i="13"/>
  <c r="F243" i="13" s="1"/>
  <c r="E242" i="13"/>
  <c r="G242" i="13" s="1"/>
  <c r="D235" i="17" l="1"/>
  <c r="D244" i="13"/>
  <c r="E244" i="13" s="1"/>
  <c r="G244" i="13" s="1"/>
  <c r="F244" i="13"/>
  <c r="E243" i="13"/>
  <c r="G243" i="13" s="1"/>
  <c r="E235" i="17" l="1"/>
  <c r="G235" i="17" s="1"/>
  <c r="F235" i="17"/>
  <c r="D245" i="13"/>
  <c r="F245" i="13"/>
  <c r="D236" i="17" l="1"/>
  <c r="F236" i="17"/>
  <c r="D246" i="13"/>
  <c r="F246" i="13"/>
  <c r="E245" i="13"/>
  <c r="G245" i="13" s="1"/>
  <c r="D237" i="17" l="1"/>
  <c r="E236" i="17"/>
  <c r="G236" i="17" s="1"/>
  <c r="D247" i="13"/>
  <c r="F247" i="13" s="1"/>
  <c r="E246" i="13"/>
  <c r="G246" i="13" s="1"/>
  <c r="E237" i="17" l="1"/>
  <c r="G237" i="17" s="1"/>
  <c r="F237" i="17"/>
  <c r="D248" i="13"/>
  <c r="E248" i="13" s="1"/>
  <c r="G248" i="13" s="1"/>
  <c r="F248" i="13"/>
  <c r="E247" i="13"/>
  <c r="G247" i="13" s="1"/>
  <c r="D238" i="17" l="1"/>
  <c r="D249" i="13"/>
  <c r="F249" i="13"/>
  <c r="E238" i="17" l="1"/>
  <c r="G238" i="17" s="1"/>
  <c r="F238" i="17"/>
  <c r="D250" i="13"/>
  <c r="F250" i="13"/>
  <c r="E249" i="13"/>
  <c r="G249" i="13" s="1"/>
  <c r="D239" i="17" l="1"/>
  <c r="F239" i="17" s="1"/>
  <c r="D251" i="13"/>
  <c r="F251" i="13"/>
  <c r="E250" i="13"/>
  <c r="G250" i="13" s="1"/>
  <c r="D240" i="17" l="1"/>
  <c r="F240" i="17"/>
  <c r="E239" i="17"/>
  <c r="G239" i="17" s="1"/>
  <c r="D252" i="13"/>
  <c r="E252" i="13" s="1"/>
  <c r="G252" i="13" s="1"/>
  <c r="F252" i="13"/>
  <c r="E251" i="13"/>
  <c r="G251" i="13" s="1"/>
  <c r="D241" i="17" l="1"/>
  <c r="F241" i="17" s="1"/>
  <c r="E240" i="17"/>
  <c r="G240" i="17" s="1"/>
  <c r="D253" i="13"/>
  <c r="F253" i="13" s="1"/>
  <c r="D242" i="17" l="1"/>
  <c r="E241" i="17"/>
  <c r="G241" i="17" s="1"/>
  <c r="D254" i="13"/>
  <c r="F254" i="13" s="1"/>
  <c r="E253" i="13"/>
  <c r="G253" i="13" s="1"/>
  <c r="E242" i="17" l="1"/>
  <c r="G242" i="17" s="1"/>
  <c r="F242" i="17"/>
  <c r="D255" i="13"/>
  <c r="F255" i="13"/>
  <c r="E254" i="13"/>
  <c r="G254" i="13" s="1"/>
  <c r="D243" i="17" l="1"/>
  <c r="D256" i="13"/>
  <c r="E256" i="13" s="1"/>
  <c r="G256" i="13" s="1"/>
  <c r="E255" i="13"/>
  <c r="G255" i="13" s="1"/>
  <c r="E243" i="17" l="1"/>
  <c r="G243" i="17" s="1"/>
  <c r="F243" i="17"/>
  <c r="F256" i="13"/>
  <c r="D257" i="13"/>
  <c r="E257" i="13" s="1"/>
  <c r="G257" i="13" s="1"/>
  <c r="F257" i="13"/>
  <c r="D244" i="17" l="1"/>
  <c r="F244" i="17"/>
  <c r="D258" i="13"/>
  <c r="F258" i="13" s="1"/>
  <c r="D245" i="17" l="1"/>
  <c r="E244" i="17"/>
  <c r="G244" i="17" s="1"/>
  <c r="D259" i="13"/>
  <c r="F259" i="13"/>
  <c r="E258" i="13"/>
  <c r="G258" i="13" s="1"/>
  <c r="E245" i="17" l="1"/>
  <c r="G245" i="17" s="1"/>
  <c r="F245" i="17"/>
  <c r="D260" i="13"/>
  <c r="E260" i="13" s="1"/>
  <c r="G260" i="13" s="1"/>
  <c r="F260" i="13"/>
  <c r="E259" i="13"/>
  <c r="G259" i="13" s="1"/>
  <c r="D246" i="17" l="1"/>
  <c r="F246" i="17"/>
  <c r="D261" i="13"/>
  <c r="F261" i="13"/>
  <c r="D247" i="17" l="1"/>
  <c r="F247" i="17" s="1"/>
  <c r="E246" i="17"/>
  <c r="G246" i="17" s="1"/>
  <c r="D262" i="13"/>
  <c r="F262" i="13"/>
  <c r="E261" i="13"/>
  <c r="G261" i="13" s="1"/>
  <c r="D248" i="17" l="1"/>
  <c r="E247" i="17"/>
  <c r="G247" i="17" s="1"/>
  <c r="D263" i="13"/>
  <c r="F263" i="13" s="1"/>
  <c r="E262" i="13"/>
  <c r="G262" i="13" s="1"/>
  <c r="E248" i="17" l="1"/>
  <c r="G248" i="17" s="1"/>
  <c r="F248" i="17"/>
  <c r="D264" i="13"/>
  <c r="E264" i="13" s="1"/>
  <c r="G264" i="13" s="1"/>
  <c r="E263" i="13"/>
  <c r="G263" i="13" s="1"/>
  <c r="F264" i="13" l="1"/>
  <c r="D249" i="17"/>
  <c r="D265" i="13"/>
  <c r="F265" i="13" s="1"/>
  <c r="E249" i="17" l="1"/>
  <c r="G249" i="17" s="1"/>
  <c r="F249" i="17"/>
  <c r="D266" i="13"/>
  <c r="F266" i="13" s="1"/>
  <c r="E265" i="13"/>
  <c r="G265" i="13" s="1"/>
  <c r="D250" i="17" l="1"/>
  <c r="D267" i="13"/>
  <c r="F267" i="13"/>
  <c r="E266" i="13"/>
  <c r="G266" i="13" s="1"/>
  <c r="E250" i="17" l="1"/>
  <c r="G250" i="17" s="1"/>
  <c r="F250" i="17"/>
  <c r="D268" i="13"/>
  <c r="E268" i="13" s="1"/>
  <c r="G268" i="13" s="1"/>
  <c r="E267" i="13"/>
  <c r="G267" i="13" s="1"/>
  <c r="D251" i="17" l="1"/>
  <c r="F268" i="13"/>
  <c r="D269" i="13" s="1"/>
  <c r="E251" i="17" l="1"/>
  <c r="G251" i="17" s="1"/>
  <c r="F251" i="17"/>
  <c r="F269" i="13"/>
  <c r="D270" i="13" s="1"/>
  <c r="F270" i="13" s="1"/>
  <c r="E269" i="13"/>
  <c r="G269" i="13" s="1"/>
  <c r="D252" i="17" l="1"/>
  <c r="D271" i="13"/>
  <c r="F271" i="13"/>
  <c r="E270" i="13"/>
  <c r="G270" i="13" s="1"/>
  <c r="E252" i="17" l="1"/>
  <c r="G252" i="17" s="1"/>
  <c r="F252" i="17"/>
  <c r="D272" i="13"/>
  <c r="E272" i="13" s="1"/>
  <c r="G272" i="13" s="1"/>
  <c r="E271" i="13"/>
  <c r="G271" i="13" s="1"/>
  <c r="F272" i="13" l="1"/>
  <c r="D273" i="13" s="1"/>
  <c r="E273" i="13" s="1"/>
  <c r="G273" i="13" s="1"/>
  <c r="D253" i="17"/>
  <c r="F253" i="17" s="1"/>
  <c r="F273" i="13" l="1"/>
  <c r="D254" i="17"/>
  <c r="F254" i="17" s="1"/>
  <c r="E253" i="17"/>
  <c r="G253" i="17" s="1"/>
  <c r="D274" i="13"/>
  <c r="F274" i="13" s="1"/>
  <c r="D255" i="17" l="1"/>
  <c r="F255" i="17"/>
  <c r="E254" i="17"/>
  <c r="G254" i="17" s="1"/>
  <c r="D275" i="13"/>
  <c r="F275" i="13" s="1"/>
  <c r="E274" i="13"/>
  <c r="G274" i="13" s="1"/>
  <c r="D256" i="17" l="1"/>
  <c r="E255" i="17"/>
  <c r="G255" i="17"/>
  <c r="D276" i="13"/>
  <c r="E276" i="13" s="1"/>
  <c r="G276" i="13" s="1"/>
  <c r="E275" i="13"/>
  <c r="G275" i="13"/>
  <c r="E256" i="17" l="1"/>
  <c r="G256" i="17" s="1"/>
  <c r="F256" i="17"/>
  <c r="F276" i="13"/>
  <c r="D277" i="13"/>
  <c r="F277" i="13"/>
  <c r="D257" i="17" l="1"/>
  <c r="D278" i="13"/>
  <c r="F278" i="13"/>
  <c r="E277" i="13"/>
  <c r="G277" i="13" s="1"/>
  <c r="E257" i="17" l="1"/>
  <c r="G257" i="17" s="1"/>
  <c r="F257" i="17"/>
  <c r="D279" i="13"/>
  <c r="F279" i="13"/>
  <c r="E278" i="13"/>
  <c r="G278" i="13" s="1"/>
  <c r="D258" i="17" l="1"/>
  <c r="D280" i="13"/>
  <c r="E280" i="13" s="1"/>
  <c r="G280" i="13" s="1"/>
  <c r="F280" i="13"/>
  <c r="E279" i="13"/>
  <c r="G279" i="13" s="1"/>
  <c r="E258" i="17" l="1"/>
  <c r="G258" i="17" s="1"/>
  <c r="F258" i="17"/>
  <c r="D281" i="13"/>
  <c r="F281" i="13"/>
  <c r="D259" i="17" l="1"/>
  <c r="E281" i="13"/>
  <c r="D283" i="13"/>
  <c r="I39" i="13" s="1"/>
  <c r="B39" i="13" s="1"/>
  <c r="E259" i="17" l="1"/>
  <c r="G259" i="17" s="1"/>
  <c r="F259" i="17"/>
  <c r="G281" i="13"/>
  <c r="G283" i="13" s="1"/>
  <c r="E283" i="13"/>
  <c r="J39" i="13" s="1"/>
  <c r="C39" i="13" s="1"/>
  <c r="D260" i="17" l="1"/>
  <c r="E260" i="17" l="1"/>
  <c r="G260" i="17" s="1"/>
  <c r="F260" i="17"/>
  <c r="D261" i="17" l="1"/>
  <c r="E261" i="17" l="1"/>
  <c r="G261" i="17" s="1"/>
  <c r="F261" i="17"/>
  <c r="D262" i="17" l="1"/>
  <c r="F262" i="17" s="1"/>
  <c r="D263" i="17" l="1"/>
  <c r="F263" i="17" s="1"/>
  <c r="E262" i="17"/>
  <c r="G262" i="17" s="1"/>
  <c r="D264" i="17" l="1"/>
  <c r="F264" i="17"/>
  <c r="E263" i="17"/>
  <c r="G263" i="17" s="1"/>
  <c r="D265" i="17" l="1"/>
  <c r="E264" i="17"/>
  <c r="G264" i="17" s="1"/>
  <c r="E265" i="17" l="1"/>
  <c r="G265" i="17" s="1"/>
  <c r="F265" i="17"/>
  <c r="D266" i="17" l="1"/>
  <c r="E266" i="17" l="1"/>
  <c r="G266" i="17" s="1"/>
  <c r="F266" i="17"/>
  <c r="D267" i="17" l="1"/>
  <c r="E267" i="17" l="1"/>
  <c r="G267" i="17" s="1"/>
  <c r="F267" i="17"/>
  <c r="D268" i="17" l="1"/>
  <c r="E268" i="17" l="1"/>
  <c r="G268" i="17" s="1"/>
  <c r="F268" i="17"/>
  <c r="D269" i="17" l="1"/>
  <c r="E269" i="17" l="1"/>
  <c r="G269" i="17" s="1"/>
  <c r="F269" i="17"/>
  <c r="D270" i="17" l="1"/>
  <c r="F270" i="17" s="1"/>
  <c r="D271" i="17" l="1"/>
  <c r="F271" i="17" s="1"/>
  <c r="E270" i="17"/>
  <c r="G270" i="17" s="1"/>
  <c r="D272" i="17" l="1"/>
  <c r="F272" i="17"/>
  <c r="E271" i="17"/>
  <c r="G271" i="17" s="1"/>
  <c r="D273" i="17" l="1"/>
  <c r="F273" i="17" s="1"/>
  <c r="E272" i="17"/>
  <c r="G272" i="17"/>
  <c r="D274" i="17" l="1"/>
  <c r="F274" i="17" s="1"/>
  <c r="E273" i="17"/>
  <c r="G273" i="17" s="1"/>
  <c r="E274" i="17" l="1"/>
  <c r="G274" i="17" s="1"/>
  <c r="D275" i="17"/>
  <c r="E275" i="17" l="1"/>
  <c r="G275" i="17" s="1"/>
  <c r="F275" i="17"/>
  <c r="D276" i="17" l="1"/>
  <c r="E276" i="17" l="1"/>
  <c r="G276" i="17" s="1"/>
  <c r="F276" i="17"/>
  <c r="D277" i="17" l="1"/>
  <c r="E277" i="17" l="1"/>
  <c r="G277" i="17" s="1"/>
  <c r="F277" i="17"/>
  <c r="D278" i="17" l="1"/>
  <c r="E278" i="17" l="1"/>
  <c r="G278" i="17" s="1"/>
  <c r="F278" i="17"/>
  <c r="D279" i="17" l="1"/>
  <c r="F279" i="17" s="1"/>
  <c r="D280" i="17" l="1"/>
  <c r="F280" i="17" s="1"/>
  <c r="E279" i="17"/>
  <c r="G279" i="17" s="1"/>
  <c r="D281" i="17" l="1"/>
  <c r="F281" i="17" s="1"/>
  <c r="E280" i="17"/>
  <c r="G280" i="17" s="1"/>
  <c r="E281" i="17" l="1"/>
  <c r="E283" i="17" s="1"/>
  <c r="J39" i="17" s="1"/>
  <c r="C39" i="17" s="1"/>
  <c r="D283" i="17"/>
  <c r="I39" i="17" s="1"/>
  <c r="B39" i="17" s="1"/>
  <c r="G281" i="17" l="1"/>
  <c r="G283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k.nowak</author>
  </authors>
  <commentList>
    <comment ref="C107" authorId="0" shapeId="0" xr:uid="{7F81D886-88C3-4AF2-87AF-43ADC1D75EA1}">
      <text>
        <r>
          <rPr>
            <b/>
            <sz val="10"/>
            <color indexed="81"/>
            <rFont val="Tahoma"/>
            <family val="2"/>
            <charset val="238"/>
          </rPr>
          <t>k.nowak: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wstaw sumę wartość tych zobowiązań z harmonogramu pomniejszoną o wartość  z komórki c 119 (wartość planowanych spłat w roku 1)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JERZY SKRZYPEK</author>
  </authors>
  <commentList>
    <comment ref="A126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38"/>
          </rPr>
          <t>JERZY SKRZYPEK:</t>
        </r>
        <r>
          <rPr>
            <sz val="8"/>
            <color indexed="81"/>
            <rFont val="Tahoma"/>
            <family val="2"/>
            <charset val="238"/>
          </rPr>
          <t xml:space="preserve">
W tym wydatki na niezakończone badania rozwojowe.</t>
        </r>
      </text>
    </comment>
  </commentList>
</comments>
</file>

<file path=xl/sharedStrings.xml><?xml version="1.0" encoding="utf-8"?>
<sst xmlns="http://schemas.openxmlformats.org/spreadsheetml/2006/main" count="862" uniqueCount="515">
  <si>
    <t>ZAŁOŻENIA</t>
  </si>
  <si>
    <t>Przychody ze sprzedaży towarów</t>
  </si>
  <si>
    <t xml:space="preserve">     cena jednostkowa</t>
  </si>
  <si>
    <t>Koszty zakupu towarów</t>
  </si>
  <si>
    <t>Grunty</t>
  </si>
  <si>
    <t>grunty</t>
  </si>
  <si>
    <t>prawo wieczystego użytkowania gruntów</t>
  </si>
  <si>
    <t>Budynki i budowle</t>
  </si>
  <si>
    <t>Urządzenia techniczne i maszyny</t>
  </si>
  <si>
    <t>Środki transportu</t>
  </si>
  <si>
    <t>Inne środki trwałe</t>
  </si>
  <si>
    <t>Wart.niematerialne i prawne</t>
  </si>
  <si>
    <t>rok 0</t>
  </si>
  <si>
    <t>3 rok</t>
  </si>
  <si>
    <t>4 rok</t>
  </si>
  <si>
    <t>5 rok</t>
  </si>
  <si>
    <t>1 rok</t>
  </si>
  <si>
    <t>2 rok</t>
  </si>
  <si>
    <t>A.</t>
  </si>
  <si>
    <t>I.</t>
  </si>
  <si>
    <t>II.</t>
  </si>
  <si>
    <t>III.</t>
  </si>
  <si>
    <t>IV.</t>
  </si>
  <si>
    <t>B.</t>
  </si>
  <si>
    <t>V.</t>
  </si>
  <si>
    <t>VI.</t>
  </si>
  <si>
    <t>VII.</t>
  </si>
  <si>
    <t>VIII.</t>
  </si>
  <si>
    <t>C.</t>
  </si>
  <si>
    <t>D.</t>
  </si>
  <si>
    <t>E.</t>
  </si>
  <si>
    <t>F.</t>
  </si>
  <si>
    <t>G.</t>
  </si>
  <si>
    <t>J.</t>
  </si>
  <si>
    <t>M.</t>
  </si>
  <si>
    <t>1.</t>
  </si>
  <si>
    <t>2.</t>
  </si>
  <si>
    <t>a)</t>
  </si>
  <si>
    <t>b)</t>
  </si>
  <si>
    <t>c)</t>
  </si>
  <si>
    <t>d)</t>
  </si>
  <si>
    <t>e)</t>
  </si>
  <si>
    <t xml:space="preserve">po korektach </t>
  </si>
  <si>
    <t>WSKAŹNIKI PROGNOZY</t>
  </si>
  <si>
    <t>wskaźnik udziału środków trwałych w aktywach</t>
  </si>
  <si>
    <t>wskaźnik struktury aktywów (majątek trwały/majątek obrotowy)</t>
  </si>
  <si>
    <t>wskaźnik struktury pasywów (kapitał własny / kapitał obcy)</t>
  </si>
  <si>
    <t>wskaźnik zastosowania kapitalu własnego (kapitał własny / majątek trwały)</t>
  </si>
  <si>
    <t>wskaźnik zastosowania kapitalu obcego (kapitał obcy / majątek obrotowy)</t>
  </si>
  <si>
    <t>wskaźnik finansowania majątku trwałego kapitał stały/ majątek trwały)</t>
  </si>
  <si>
    <t>wskaźnik zadłużenia długoterminowego (zadłużenie długoterminowe /kapitał własny)</t>
  </si>
  <si>
    <t>wskażnik zadłużenia długoterminowego (zadłużenie dlugoterminowe / aktywa)</t>
  </si>
  <si>
    <t>wskażnik zadłużenia całkowitego (zadłużenie/ aktywa)</t>
  </si>
  <si>
    <t>wskaźnik udziału zadłużenia krótkoterminowego w zobowiązaniach</t>
  </si>
  <si>
    <t>rentowność kapitału zainwestowanego( NOPLAT / kapitał zainwestowany )     ROIC</t>
  </si>
  <si>
    <t>płynność bieżąca</t>
  </si>
  <si>
    <t>płynność szybka</t>
  </si>
  <si>
    <t>rok 1</t>
  </si>
  <si>
    <t>rok 3</t>
  </si>
  <si>
    <t>rok 4</t>
  </si>
  <si>
    <t>rok 5</t>
  </si>
  <si>
    <t>wpływy z udziałów w zyskach</t>
  </si>
  <si>
    <t>pozostałe koszty operacyjne bez aktywów trwałych i finansowych</t>
  </si>
  <si>
    <t>pozostałe przychody operacyjne bez aktywów trwałych i finansowych</t>
  </si>
  <si>
    <t>rentowność sprzedaży netto ( zysk netto / przychody )</t>
  </si>
  <si>
    <t>wskaźnik zdolności spłat pożyczki</t>
  </si>
  <si>
    <t>rentowność kapitału własnego( zysk netto / średni kapitał własny )   ROE</t>
  </si>
  <si>
    <t>rentowność aktywów ( zysk netto / średnie aktywa)     ROA</t>
  </si>
  <si>
    <t xml:space="preserve">ilość dni zapasów </t>
  </si>
  <si>
    <t>wzrost zapasów</t>
  </si>
  <si>
    <t>wzrost należności</t>
  </si>
  <si>
    <t>wzrost zobowiązań</t>
  </si>
  <si>
    <t>zakup aktywów trwałych i finansowych (-)</t>
  </si>
  <si>
    <t>sprzedaż aktywów trwałych i finansowych (+)</t>
  </si>
  <si>
    <t xml:space="preserve">          odsetki z pożyczki JEREMIE (-)</t>
  </si>
  <si>
    <t xml:space="preserve">         odsetki z  innych pożyczek lub kredytów i leasingu finansowego (-)</t>
  </si>
  <si>
    <t xml:space="preserve">          wpływ kapitału z  innych pożyczek lub kredytów (+)</t>
  </si>
  <si>
    <t xml:space="preserve">          wpływ kapitału z pożyczki JEREMIE (+)</t>
  </si>
  <si>
    <t>Inne</t>
  </si>
  <si>
    <t>Wypłaty dywidend (-)</t>
  </si>
  <si>
    <t xml:space="preserve">                inne pożyczki,kredyty  i leasing finansowy</t>
  </si>
  <si>
    <t>PARAMETRY POŻYCZKI</t>
  </si>
  <si>
    <t>6 rok</t>
  </si>
  <si>
    <t>7 rok</t>
  </si>
  <si>
    <t>8 rok</t>
  </si>
  <si>
    <t>9 rok</t>
  </si>
  <si>
    <t>STAWKI AMORTYZACYJNE</t>
  </si>
  <si>
    <t>Symbol</t>
  </si>
  <si>
    <t>Nazwa</t>
  </si>
  <si>
    <t>Budynki mieszkalne    1,5%</t>
  </si>
  <si>
    <t>Lokale mieszkalne  1,5%</t>
  </si>
  <si>
    <t>Budynki niemieszkalne   2,5%</t>
  </si>
  <si>
    <t>Z rodzaju 110 placówki opiekuńczo-wychowawcze, domy opieki społecznej   2,5%</t>
  </si>
  <si>
    <t>Lokale niemieszkalne  2,5%</t>
  </si>
  <si>
    <t>Budynki kontroli ruchu powietrznego (wieże)   4,5%</t>
  </si>
  <si>
    <t>Podziemne garaże i zadaszone parkingi</t>
  </si>
  <si>
    <t>Zbiorniki i komory podziemne (z wyłączeniem budynków magazynowych i naziemnych   4,5%</t>
  </si>
  <si>
    <t>Zbiorniki, silosy oraz magazyny podziemne    4,5%</t>
  </si>
  <si>
    <t>Plantacje wikliny   10%</t>
  </si>
  <si>
    <t>Kioski towarowe o kubaturze poniżej 500m trwale związane z gruntem    10%</t>
  </si>
  <si>
    <t>Domki kempingowe, budynki zastępcze trwale związane z gruntem    10%</t>
  </si>
  <si>
    <t>Budowle sklasyfikowane jako budowle do uzdatniania wód, z wyj. studni wierconych   2,5%</t>
  </si>
  <si>
    <t>Budowle wodne, z wyjątkiem melioracji, doków stałych zalądowionych, wałów i grobli   2,5%</t>
  </si>
  <si>
    <t>Melioracje podstawowe   2,5%</t>
  </si>
  <si>
    <t>Melioracje szczegółowe   2,5%</t>
  </si>
  <si>
    <t>Budowle sportowe i rekreacyjne, z wyłączeniem ogrodów i parków publicznych    2,5%</t>
  </si>
  <si>
    <t>Wieże przeciwpożarowe    2,5%</t>
  </si>
  <si>
    <t>Obiekty inżynierii lądowej i wodnej, z wyłączeniem ogrodów i parków publicznych, skwerów, ogrodów zoologicznych    4,5%</t>
  </si>
  <si>
    <t>Przewody sieci technologicznych wewnątrzzakładowych   10%</t>
  </si>
  <si>
    <t>Urządzenia zabezpieczające ruch pociągów   10%</t>
  </si>
  <si>
    <t>Z rodzaju 202 wieże ekstrakcyjne   14%</t>
  </si>
  <si>
    <t>Z rodzaju 200 wieże wiertnicze, wieżomaszty    20%</t>
  </si>
  <si>
    <t>Kotły i maszyny energetyczne   7%</t>
  </si>
  <si>
    <t>Silniki spalinowe na paliwo lekkie    14%</t>
  </si>
  <si>
    <t>Silniki spalinowe na paliwo ciężkie    14%</t>
  </si>
  <si>
    <t>Silniki spalinowe na paliwo gazowe   14%</t>
  </si>
  <si>
    <t>Silniki powietrzne   14%</t>
  </si>
  <si>
    <t>Z rodzaju 343 zespoły elektroenergetyczne przenośne z silnikami spalinowymi na paliwo lekkie    14%</t>
  </si>
  <si>
    <t>Zespoły elektroenergetyczne z silnikami spalinowymi na paliwo ciężkie   14%</t>
  </si>
  <si>
    <t>Reaktory jądrowe    14%</t>
  </si>
  <si>
    <t>431 - 0 filtry (prasy) błotniarki   7%</t>
  </si>
  <si>
    <t>431 - 4 cedzidła mechaniczne   7%</t>
  </si>
  <si>
    <t>Piece do przerobu surowców (z wyjątkiem 450 -50 piece do przerobu surowca wielokomorowe)   7%</t>
  </si>
  <si>
    <t>Piece do przetwarzania paliw (z wyjątkiem 451 -0 piece koksownicze)   7%</t>
  </si>
  <si>
    <t>Piece do wypalania tunelowe   7%</t>
  </si>
  <si>
    <t>Aparaty bębnowe   7%</t>
  </si>
  <si>
    <t>Suszarki komorowe: 477-0 do 4 oraz 477-6 do 8    7%</t>
  </si>
  <si>
    <t>Maszyny, urządzenia i aparaty ogólnego zastosowania   10%</t>
  </si>
  <si>
    <t>Obrabiarki do metali    14%</t>
  </si>
  <si>
    <t>Maszyny i urządzenia do przetłaczania i sprężania cieczy i gazów    14%</t>
  </si>
  <si>
    <t>Aparaty do wymiany ciepła (z wyjątkiem rodzaju 465 i 469-0)   14%</t>
  </si>
  <si>
    <t>Maszyny, urządzenia i aparaty do operacji i procesów materiałowych z wyj. rodzaju 474, 475, 477-0 do 4 i 6-8 oraz 479-0)     14%</t>
  </si>
  <si>
    <t>Z rodzaju 449-90 urządzenia dystrybucyjne do benzyny i olejów elektryczne i przepływomierze składowe do cieczy i paliw płynnych    18%</t>
  </si>
  <si>
    <t>Z rodzaju 465 wymienniki płynów obiegowych przy produkcji sody   18%</t>
  </si>
  <si>
    <t>469-0 chłodnice odmulin i prób kołowych rozkładni gazu    18%</t>
  </si>
  <si>
    <t>Kolumny nitracyjne i denitracyjne    18%</t>
  </si>
  <si>
    <t>479-0 odbieralnice hydrauliczne rozkładni gazu    18%</t>
  </si>
  <si>
    <t>Aparaty i urządzenia do powierzchniowej obróbki metali sposobem chemicznym i elektrogalwanicznym     18%</t>
  </si>
  <si>
    <t>Aparaty i urządzenia do powierzchniowej obróbki metali sposobem cieplnym    18%</t>
  </si>
  <si>
    <t>484-0 urządzenia do spawania i napawania łukowego w ochronie gazów oraz do spawania i napawania plazmowego    18%</t>
  </si>
  <si>
    <t>484-3 zgrzewarki oporowe i tarcicowe    18%</t>
  </si>
  <si>
    <t>Z rodzaju 484-1 wytwornice acetylenowe przenośne wysokiego ciśnienia    18%</t>
  </si>
  <si>
    <t>Z rodzaju 484-6 urządzenia do metalizacji natryskowej i do natryskiwania tworzywami sztucznymi    18%</t>
  </si>
  <si>
    <t>Maszyny i urządzenia do przygotowywania maszynowych nośników danych oraz maszyny analityczne    18%</t>
  </si>
  <si>
    <t>Samodzielne urządzenia do automatycznej regulacji i sterowania procesami    18%</t>
  </si>
  <si>
    <t>Z rodzaju 493 roboty przemysłowe     18%</t>
  </si>
  <si>
    <t>434-01 maszyny do zamykania słoi i 434-02 do zamykania puszek    20%</t>
  </si>
  <si>
    <t>Wymienniki przeponowe rurowe sklasyfikowane jako chłodnice kwasu siarkowego     20%</t>
  </si>
  <si>
    <t>Zespoły komputerowe    30%</t>
  </si>
  <si>
    <t>506-1 i 506-2 aparaty do rektyfikacji powietrza     7%</t>
  </si>
  <si>
    <t>507-2 i 507-3 krystalizatory, 507-4 komory potne    7%</t>
  </si>
  <si>
    <t>548-0 maszyny, urządzenia i aparaty do produkcji materiału zecerskiego    7%</t>
  </si>
  <si>
    <t>583-0 koparki i zwałowarki w kopalniach odkrywkowych węgla     7%</t>
  </si>
  <si>
    <t>583-1 koparki w piaskowniach przemysłu węglowego      7%</t>
  </si>
  <si>
    <t>Maszyny, urządzenia i aparaty przemysłów rolnych     10%</t>
  </si>
  <si>
    <t>Maszyny i urządzenia do eksploatacji otworów wiertniczych     10%</t>
  </si>
  <si>
    <t>Maszyny i urządzenia do przeróbki mechanicznej rud i węgla     10%</t>
  </si>
  <si>
    <t>514-0 maszyny i urządzenia aglomerowni     10%</t>
  </si>
  <si>
    <t>514-1 maszyny i urządzenia wielkopiecowe     10%</t>
  </si>
  <si>
    <t>514-2 maszyny i urządzenia hutnicze stalowni    10%</t>
  </si>
  <si>
    <t>514-9 inne maszyny, urządzenia i aparaty hutnicze      10%</t>
  </si>
  <si>
    <t>Z rodzaju 514-3 do 6 nożyce hutnicze do cięcia na gorąco, tabor hutniczy, walcowniczy     10%</t>
  </si>
  <si>
    <t>520-0 i 520-1 traki ramowe i tarczowe     10%</t>
  </si>
  <si>
    <t>520-2 cyrkulaki     10%</t>
  </si>
  <si>
    <t>520-3 szlifierki     10%</t>
  </si>
  <si>
    <t>520-4 tokarki i wiertarki do kamienia     10%</t>
  </si>
  <si>
    <t>520-5 kombajny do robót przygotowawczych     10%</t>
  </si>
  <si>
    <t>Z rodzaju 520 maszyny i urządzenia przemysłu kamieniarskiego     10%</t>
  </si>
  <si>
    <t>Maszyny i urządzenia przemysłu cementowego    10%</t>
  </si>
  <si>
    <t>525-31 autoklawy     10%</t>
  </si>
  <si>
    <t>529-81 do produkcji elementów z lastryko     10%</t>
  </si>
  <si>
    <t>529-82 do produkcji sztucznego kamienia     10%</t>
  </si>
  <si>
    <t>Z rodzaju 529 maszyny i urządzenia do produkcji materiałów budowlanych     10%</t>
  </si>
  <si>
    <t>582-2 odśnieżarki o mocy silników powyżej 120 KM     10%</t>
  </si>
  <si>
    <t>Z rodzaju 582-1 pojemniki do bitumu stalowe powyżej 20 000 l pojemności oraz z rodzaju     10%</t>
  </si>
  <si>
    <t>Maszyny, urządzenia i aparaty przemysłu chemicznego    14%</t>
  </si>
  <si>
    <t>Maszyny dla przemysłu surowców mineralnych     14%</t>
  </si>
  <si>
    <t>Maszyny do produkcji wyrobów z metali i tworzyw sztucznych     14%</t>
  </si>
  <si>
    <t>Maszyny, urządzenia i aparaty do obróbki i przerobu drewna, produkcji wyrobów z drewna oraz maszyny i aparaty papiernicze i poligraficzne     14%</t>
  </si>
  <si>
    <t>Maszyny i urządzenia do produkcji wyrobów włókienniczych i odzieżowych oraz do obróbki skóry i produkcji z niej      14%</t>
  </si>
  <si>
    <t>Maszyny, urządzenia i aparaty przemysłów spozywczych    14%</t>
  </si>
  <si>
    <t>Maszyny, urządzenia i narzędzia rolnicze i gospodarki leśnej     14%</t>
  </si>
  <si>
    <t>Maszyny i urządzenia torfiarskie     14%</t>
  </si>
  <si>
    <t>561-6 maszyny, urządzenia i aparaty do produkcji napoi      14%</t>
  </si>
  <si>
    <t>Maszyny, urządzenia i aparaty przemysłu chemicznego piekarniczego (z wyjątkiem 568-40 do 48)      14%</t>
  </si>
  <si>
    <t>Maszyny, urządzenia i aparaty wiertnicze, górnicze, gazownicze, odlewnicze, torfiarskie oraz geodezyjne i kartograficzne      18%</t>
  </si>
  <si>
    <t>Maszyny do robót ziemnych, budowlanych i drogowych      18%</t>
  </si>
  <si>
    <t>505-1 piece prażalnicze fluidezyjne</t>
  </si>
  <si>
    <t>506-3 odgazowywacze     18%</t>
  </si>
  <si>
    <t>Maszyny i urządzenia wiertnicze    20%</t>
  </si>
  <si>
    <t>Obudowy zmechanizowane     20%</t>
  </si>
  <si>
    <t>518-01 pomiarów magnetycznych     20%</t>
  </si>
  <si>
    <t>518-02 pomiarów geologicznych     20%</t>
  </si>
  <si>
    <t>518-03 pomiarów sejsmicznych i radiometrycznych     20%</t>
  </si>
  <si>
    <t>518-1 elektrycznego profilowania odwiertów, karotażu gazowego, perforacji otworów wiertniczych     20%</t>
  </si>
  <si>
    <t>Z rodzaju 518 aparaty i urządzenia do:     20%</t>
  </si>
  <si>
    <t>Z rodzaju 535-0 aparaty specjalne do wytwarzania kwasu wolframowego i maszyny do redukcyjnych, próżniowych i specjalnych wytopów metali      20%</t>
  </si>
  <si>
    <t>Z rodzaju 535-1 maszyny do produkcji węglanów i past emulsyjnych      20%</t>
  </si>
  <si>
    <t>Z rodzaju 535-7 urządzenia do produkcji półprzewodników     20%</t>
  </si>
  <si>
    <t>579-000 dystrybutory      20%</t>
  </si>
  <si>
    <t>579-003 młynki młotkowe      20%</t>
  </si>
  <si>
    <t>579-01 maszyny i urządzenia do przerobu odpadów zwierzęcych na mąkę pastewną i tłuszcze utylizacyjne     20%</t>
  </si>
  <si>
    <t>579-09 inne maszyny i urządzenia do przerobu odpadów zwierzęcych     20%</t>
  </si>
  <si>
    <t>Maszyny do robót ziemnych i fundamentowych      20%</t>
  </si>
  <si>
    <t>Maszyny do robót budowlanych     20%</t>
  </si>
  <si>
    <t>582-3 szczotki mechaniczne i osprzęt do utrzymania dróg     20%</t>
  </si>
  <si>
    <t>501-0 aparaty szklane i porcelanowe do destylacji     25%</t>
  </si>
  <si>
    <t>501-1 porcelanowe młyny kulowe     25%</t>
  </si>
  <si>
    <t>Maszyny górnicze, z wyłączeniem obudów zmechanizowanych     25%</t>
  </si>
  <si>
    <t>Z rodzaju 524 piece do topienia żużla wielkopiecowego i bazaltu     25%</t>
  </si>
  <si>
    <t>571-30 i 571-31 neutralizatory stalowe oraz neutralizatory i hydrolizatory betonowe lub murowane    25%</t>
  </si>
  <si>
    <t>571-8 autoklawy do hydrolizy     25%</t>
  </si>
  <si>
    <t>581-2 wibratory     25%</t>
  </si>
  <si>
    <t>581-4 wibromłoty oraz z rodzaju 581-3 zacieraczki do tynku     25%</t>
  </si>
  <si>
    <t>Zbiorniki naziemne ceglane     4,5%</t>
  </si>
  <si>
    <t>Zbiorniki naziemne betonowe (z wyjątkiem z wykładziną chemoodporną dla kwasu ponitracyjnego)     4,5%</t>
  </si>
  <si>
    <t>623-7 urządzenia telefoniczne systemów nośnych na liniach WN     4,5%</t>
  </si>
  <si>
    <t>Z rodzaju 641-7 wyciągi kopalniane (bez wyciągów przy głębieniu szybów)     4,5%</t>
  </si>
  <si>
    <t>Towarowe kolejki linowe i dźwignie linowe      4,5%</t>
  </si>
  <si>
    <t>Akumulatory hydrauliczne      4,5%</t>
  </si>
  <si>
    <t>Wagi pojazdowe, wagonowe i inne wbudowane     4,5%</t>
  </si>
  <si>
    <t>Urządzenia techniczne     10%</t>
  </si>
  <si>
    <t>Z podgrupy 61 urządzenia rozdzielcze i aparatura energii elektrycznej przewoźna     18%</t>
  </si>
  <si>
    <t>Dźwigniki, wciągarki i wciągniki przejezdne oraz nieprzejezdne, kołowroty, wyciągniki (z wyjątkiem rodzaju 641-63 oraz z rodzaju 641-7 wyciągniki kopalniane łącznie z wyciągami przy głębieniu szybów, a także wyciągi kolei i kolejek linowych)     18%</t>
  </si>
  <si>
    <t>662-1 projektory przenośne 16 mm i 35 mm     18%</t>
  </si>
  <si>
    <t>Kontenery     18%</t>
  </si>
  <si>
    <t>Telefony komórkowe     20%</t>
  </si>
  <si>
    <t>Baterie akumulatorów elektrycznych stacjonarnych     20%</t>
  </si>
  <si>
    <t>Baterie akumulatorów elektrycznych zasadowych      20%</t>
  </si>
  <si>
    <t>644-0 do 4 przenośniki w kopalniach i zakładach przetwórczych rud i węgla      20%</t>
  </si>
  <si>
    <t>662-5 ekrany kinowe     20%</t>
  </si>
  <si>
    <t>Z rodzaju 664 urządzenia do przeprowadzania badań technicznych     20%</t>
  </si>
  <si>
    <t>Kasy fiskalne i rejestrujące (z wyjątkiem zaliczonych do poz. 04 - zespoły komputerowe)     20%</t>
  </si>
  <si>
    <t>644-0 przenośniki zgrzebłowe ciężkie i lekkie     25%</t>
  </si>
  <si>
    <t>Kolejowy tabor szynowy naziemny    7%</t>
  </si>
  <si>
    <t>Kolejowy tabor szynowy podziemny     7%</t>
  </si>
  <si>
    <t>Tramwajowy tabor szynowy     7%</t>
  </si>
  <si>
    <t>Pozostały tabor szynowy naziemny     7%</t>
  </si>
  <si>
    <t>Tabor pływający     7%</t>
  </si>
  <si>
    <t>Pozostały tabor bezszynowy (wózki jezdniowe akumulatorowe, widłowe i inne wózki jezdniowe)    14%</t>
  </si>
  <si>
    <t>700-7 drezyny i przyczepy do drezyn    14%</t>
  </si>
  <si>
    <t>710-01 lokomotywy akumulatorowe      14%</t>
  </si>
  <si>
    <t>710-02 i 710-03 lokomotywy ognioszczelne i typu ,,Karlik"     14%</t>
  </si>
  <si>
    <t xml:space="preserve">710-10 do 14 wozy kopalniane     14%     </t>
  </si>
  <si>
    <t>Samochody specjalne     14%</t>
  </si>
  <si>
    <t>Z rodzaju 745 trolejbusy i samochody ciężarowe o napędzie elektrycznym      14%</t>
  </si>
  <si>
    <t>Ciągniki      14%</t>
  </si>
  <si>
    <t>Naczepy     14%</t>
  </si>
  <si>
    <t>Przyczepy      14%</t>
  </si>
  <si>
    <t>770-13 kontenerowce     14%</t>
  </si>
  <si>
    <t>773-1010 wodoloty     14%</t>
  </si>
  <si>
    <t>Samoloty     14%</t>
  </si>
  <si>
    <t>Śmigłowce      14%</t>
  </si>
  <si>
    <t>Środki transportu pozostałe     18%</t>
  </si>
  <si>
    <t>Z rodzaju 745 pozostałe samochody o napędzie elektrycznym     18%</t>
  </si>
  <si>
    <t>Balony     18%</t>
  </si>
  <si>
    <t>Inne środki transportu lotniczego      18%</t>
  </si>
  <si>
    <t>Motocykle, przyczepy i wózki motocyklowe      20%</t>
  </si>
  <si>
    <t>Samochody osobowe      20%</t>
  </si>
  <si>
    <t>Samochody ciężarowe      20%</t>
  </si>
  <si>
    <t>Autobusy i autokary      20%</t>
  </si>
  <si>
    <t>Szybowce      20%</t>
  </si>
  <si>
    <t>Z rodzaju 805 wyposażenie kin, teatrów, placówek kulturalno-oświatowych oraz instrumenty muzyczne     10%</t>
  </si>
  <si>
    <t>Kioski, budki, baraki, domki kempingowe - niezwiązane trwale z gruntem      10%</t>
  </si>
  <si>
    <t>803-0 do 1 maszyny biurowe      14%</t>
  </si>
  <si>
    <t>803-30 dalekopisy do maszyn matematycznych     14%</t>
  </si>
  <si>
    <t>Narzędzia, przyrządy, ruchomości i wyposażenie     20%</t>
  </si>
  <si>
    <t>801-0 elektroniczna aparatura kontrolno-pomiarowa do przeprowadzania badań laboratoryjnych     25%</t>
  </si>
  <si>
    <t>802-0 aparaty i sprzęt do hydro- i mechanoterapii    25%</t>
  </si>
  <si>
    <t>stawka w %</t>
  </si>
  <si>
    <t>AMORTYZACJA</t>
  </si>
  <si>
    <t>wartość środków trwałych</t>
  </si>
  <si>
    <t xml:space="preserve">Aktywa trwałe dotychczasowe </t>
  </si>
  <si>
    <t>WARTOŚĆ DOTYCHCZASOWYCH ŚRODKÓW TRWAŁYCH</t>
  </si>
  <si>
    <t>PLAN AMORTYZACJI NOWYCH ŚRODKÓW TRWAŁYCH</t>
  </si>
  <si>
    <t>PLAN AMORTYZACJI WSPÓLNY</t>
  </si>
  <si>
    <t>stopa ubezpieczeń społecznych</t>
  </si>
  <si>
    <t>Zużycie materiałów i energii     (rocznie)</t>
  </si>
  <si>
    <t>Usługi obce   (rocznie)</t>
  </si>
  <si>
    <t>Podatki i opłaty    (rocznie)</t>
  </si>
  <si>
    <t>Ubezpieczenia społeczne i inne świadczenia  (rocznie)</t>
  </si>
  <si>
    <t>Pozostałe koszty rodzajowe    (rocznie)</t>
  </si>
  <si>
    <t>Wartości niematerialne i prawne</t>
  </si>
  <si>
    <t>ZOBOWIĄZANIA I REZERWY</t>
  </si>
  <si>
    <t>KAPITAŁ WŁASNY</t>
  </si>
  <si>
    <t>TERMINARZ SPŁAT POŻYCZKI</t>
  </si>
  <si>
    <t>ilość miesięcy</t>
  </si>
  <si>
    <t>Oprocentowanie pożyczki</t>
  </si>
  <si>
    <t>data spłaty</t>
  </si>
  <si>
    <t>liczba dni</t>
  </si>
  <si>
    <t>kapitał</t>
  </si>
  <si>
    <t>odsetki</t>
  </si>
  <si>
    <t>pozostało</t>
  </si>
  <si>
    <t>rata</t>
  </si>
  <si>
    <t>ilość dni płatności za zobowiązania</t>
  </si>
  <si>
    <t>ilość dni płatności za należności</t>
  </si>
  <si>
    <t>średnia ilość dni płatności za należności</t>
  </si>
  <si>
    <t xml:space="preserve">średnia ilość dni rotacji zapasów </t>
  </si>
  <si>
    <t>DANE DO OBLICZENIA KAPITAŁU OBROTOWEGO</t>
  </si>
  <si>
    <t>średnia ilość dni płatności za zobowiązania</t>
  </si>
  <si>
    <t xml:space="preserve">                inne pożyczki,kredyty  i leasing finansowy </t>
  </si>
  <si>
    <t>rok 6</t>
  </si>
  <si>
    <t>rok 7</t>
  </si>
  <si>
    <t>rok 8</t>
  </si>
  <si>
    <t>rok 9</t>
  </si>
  <si>
    <t>kwota wnioskowana</t>
  </si>
  <si>
    <t>oprocentowanie proponowane w procentach</t>
  </si>
  <si>
    <t>WARTOŚĆ NETTO NOWYCH ŚRODKÓW TRWAŁYCH</t>
  </si>
  <si>
    <t>VAT</t>
  </si>
  <si>
    <t xml:space="preserve">ODPISY AMORTYZACYJNE DLA NOWYCH </t>
  </si>
  <si>
    <t>PLAN ODPISÓW AMORTYZACYJNYCH POSIADANYCH ŚRODKÓW TRWAŁYCH</t>
  </si>
  <si>
    <t>PLANY</t>
  </si>
  <si>
    <t>wpisać nazwę</t>
  </si>
  <si>
    <t xml:space="preserve">     wielkość sprzedaży (w sztukach, tonach itp.)</t>
  </si>
  <si>
    <t>Produkt 2 (NOWY)                     - przychód</t>
  </si>
  <si>
    <t>Towar 2 (NOWY)                    - przychód</t>
  </si>
  <si>
    <t>narzut na sprzedaży towaru 2 (NOWEGO)</t>
  </si>
  <si>
    <t>koszty zakupu towaru 2  (NOWEGO)</t>
  </si>
  <si>
    <t xml:space="preserve">   Sprzedaż   (np. ilość usług doradztwa, m2 najmu itp.)</t>
  </si>
  <si>
    <t xml:space="preserve">   Cena          ( np.stawka za 1 usługę, m2 itp..)</t>
  </si>
  <si>
    <t>wolny strumień pieniężny netto po spłatach pożyczek i kredytów</t>
  </si>
  <si>
    <t>kredyty i pożyczki także od jednostek powiązanych:</t>
  </si>
  <si>
    <t>dotacje od zewnętrznych instytucji                                   (+)</t>
  </si>
  <si>
    <t>inne</t>
  </si>
  <si>
    <t>Inwestycje krótkoterminowe w tym gotówka</t>
  </si>
  <si>
    <t>Krótkoterminowe rozliczenia okresowe</t>
  </si>
  <si>
    <t>Długoterminowe rozliczenia okresowe</t>
  </si>
  <si>
    <t>Należności krótkoterminowe</t>
  </si>
  <si>
    <t>Zapasy</t>
  </si>
  <si>
    <t xml:space="preserve">Inwestycje długoterminowe </t>
  </si>
  <si>
    <t>Rzeczowe aktywa trwałe</t>
  </si>
  <si>
    <t>Zysk (strata) z lat ubiegłych</t>
  </si>
  <si>
    <t xml:space="preserve">Zysk (strata) </t>
  </si>
  <si>
    <t>Rezerwy na zobowiązania</t>
  </si>
  <si>
    <t>Zobowiązania długoterminowe</t>
  </si>
  <si>
    <t>Zobowiązania krótkoterminowe</t>
  </si>
  <si>
    <t>Fundusz specjalne</t>
  </si>
  <si>
    <t>Rozliczenia międzyokresowe</t>
  </si>
  <si>
    <t>Należności długoterminowe</t>
  </si>
  <si>
    <t>wpisać planowany przychód roczny</t>
  </si>
  <si>
    <t>wpisać</t>
  </si>
  <si>
    <t>wpisać średnie wartości przyjęte w branży</t>
  </si>
  <si>
    <t>wpisać wartość jeżeli dotyczy</t>
  </si>
  <si>
    <t>WARTOŚĆ BRUTTO NOWYCH ŚRODKÓW TRWAŁYCH</t>
  </si>
  <si>
    <t>wpisać proponowaną wartość</t>
  </si>
  <si>
    <t>wpisać planowane wartości jeżeli dotyczy</t>
  </si>
  <si>
    <t>Wynagrodzenia z narzutami</t>
  </si>
  <si>
    <t>1.    Zakup towarów handlowych i materiałów</t>
  </si>
  <si>
    <t>2.    Koszty uboczne zakupu</t>
  </si>
  <si>
    <t>PLANOWANY przychód ze sprzedaży środka trwałego      (np. nieruchomości)</t>
  </si>
  <si>
    <t>ZUS właściciela</t>
  </si>
  <si>
    <t>Zusy właściciela</t>
  </si>
  <si>
    <t>Dopłaty z innych żródeł</t>
  </si>
  <si>
    <t>Kapitał własny (dopłaty z innych żródeł)</t>
  </si>
  <si>
    <t>Koszty finansowe</t>
  </si>
  <si>
    <t xml:space="preserve">          - wszystkie inne pożyczki lub kredyty i leasing finansowy </t>
  </si>
  <si>
    <t>K.</t>
  </si>
  <si>
    <t>L.</t>
  </si>
  <si>
    <t>Zmiana stanu zapasów (zwiększenie + / zmniejszenie -)</t>
  </si>
  <si>
    <t>ilość miesiecy</t>
  </si>
  <si>
    <t>za ostatni miesiąc</t>
  </si>
  <si>
    <t xml:space="preserve"> wpisać jeżeli sprzedaż służy zwiększeniu gotówki do inwestycji</t>
  </si>
  <si>
    <t>Przychód ze zbycia aktywów trwałych</t>
  </si>
  <si>
    <t>możliwość dofinansowania projektu                           (inne wolne dochody właściciela)      (+)</t>
  </si>
  <si>
    <t>wpisać za ostatni miesiąc</t>
  </si>
  <si>
    <t>pensje dla właściciela                                                           (-)</t>
  </si>
  <si>
    <t>wpisać planowaną cenę zakupu</t>
  </si>
  <si>
    <t>wpisać planowaną marżę (narzut na cenę zakupu)</t>
  </si>
  <si>
    <t>wpisać obecną i  planowaną sprzedaż roczną</t>
  </si>
  <si>
    <t xml:space="preserve">                        w tym  amortyzacja</t>
  </si>
  <si>
    <t>wpisać  planowane roczne  wartości</t>
  </si>
  <si>
    <t>dynamika wzrostu</t>
  </si>
  <si>
    <t xml:space="preserve">    średnia cena jednostkowa</t>
  </si>
  <si>
    <t>Towary dotychczasowe - przychód</t>
  </si>
  <si>
    <t>Produkty dotychczasowe - przychód</t>
  </si>
  <si>
    <t>wpisać planowany roczny koszt zakupu  towarów dotychczasowych</t>
  </si>
  <si>
    <t>koszty zakupu Towaru 2  (NOWEGO)</t>
  </si>
  <si>
    <t>wpisać planowaną średnią cenę za usługę/produkt</t>
  </si>
  <si>
    <r>
      <t>wpisać planowną sprzedaż</t>
    </r>
    <r>
      <rPr>
        <b/>
        <i/>
        <sz val="11"/>
        <rFont val="Calibri"/>
        <family val="2"/>
        <charset val="238"/>
        <scheme val="minor"/>
      </rPr>
      <t xml:space="preserve"> </t>
    </r>
    <r>
      <rPr>
        <b/>
        <i/>
        <sz val="14"/>
        <rFont val="Calibri"/>
        <family val="2"/>
        <charset val="238"/>
        <scheme val="minor"/>
      </rPr>
      <t xml:space="preserve">miesięczną </t>
    </r>
    <r>
      <rPr>
        <i/>
        <sz val="11"/>
        <rFont val="Calibri"/>
        <family val="2"/>
        <charset val="238"/>
        <scheme val="minor"/>
      </rPr>
      <t>jeżeli będzie występowała</t>
    </r>
  </si>
  <si>
    <t>wpisać planowaną sprzedaż roczną towaru nowego jeżeli będzie występowała</t>
  </si>
  <si>
    <t xml:space="preserve">wpisać planowaną średnią cenę za towar </t>
  </si>
  <si>
    <t>wpisać planowany roczny koszt zakupu  towarów nowych jeżeli będzie występował</t>
  </si>
  <si>
    <t>wpisać obecne i planowane roczne  wartości ze znakiem minus</t>
  </si>
  <si>
    <t>wpisać planowane roczne  wartości ze znakiem minus</t>
  </si>
  <si>
    <t xml:space="preserve">wpisać obecne i planowane roczne  wartości </t>
  </si>
  <si>
    <t xml:space="preserve">         -  pożyczka JEREMIE 2</t>
  </si>
  <si>
    <t xml:space="preserve"> spłaty rat KAPITAŁOWYCH z  dotychczasowych pożyczek lub kredytów i leasingu finansowego  innych niż pożyczka JEREMIE 2  (-)</t>
  </si>
  <si>
    <t xml:space="preserve"> spłaty rat ODSETKOWYCH z  dotychczasowych pożyczek lub kredytów i leasingu finansowego  innych niż pożyczka JEREMIE  2 (-)</t>
  </si>
  <si>
    <t xml:space="preserve">Wydatki ogółem </t>
  </si>
  <si>
    <t xml:space="preserve">3 .   Pozostałe koszty </t>
  </si>
  <si>
    <r>
      <t xml:space="preserve">Przychody </t>
    </r>
    <r>
      <rPr>
        <b/>
        <sz val="9"/>
        <color rgb="FFFF0000"/>
        <rFont val="Calibri"/>
        <family val="2"/>
        <charset val="238"/>
        <scheme val="minor"/>
      </rPr>
      <t>bez sprzedaży środków trwałych i dotacji</t>
    </r>
  </si>
  <si>
    <t xml:space="preserve">                pożyczka JEREMIE 2</t>
  </si>
  <si>
    <t xml:space="preserve">                pożyczki JEREMIE 2</t>
  </si>
  <si>
    <t>spłaty rat leasingu operacyjnego bez VAT (-)</t>
  </si>
  <si>
    <t>Aktywa trwałe i wyposażenie planowane do nabycia</t>
  </si>
  <si>
    <t>Środki transportu i inne</t>
  </si>
  <si>
    <t>Wyposażenie zbiorczo</t>
  </si>
  <si>
    <t>wpisać planowany przychód roczny jeżeli wystąpi</t>
  </si>
  <si>
    <t>koszty zakupu  Towarów dotychczasowych</t>
  </si>
  <si>
    <t>PLAN SPRZEDAŻY I KOSZTÓW ZAKUPÓW TOWARÓW HANDLOWYCH</t>
  </si>
  <si>
    <t>wartość środków trwałych w roku 0</t>
  </si>
  <si>
    <t xml:space="preserve">z tytułu dostaw i usług i inne oprócz kredytów, pożyczek </t>
  </si>
  <si>
    <t>ELEMENTY BILANSU</t>
  </si>
  <si>
    <t>………………………………………………………</t>
  </si>
  <si>
    <r>
      <t xml:space="preserve">      (Podpis Klienta)</t>
    </r>
    <r>
      <rPr>
        <b/>
        <sz val="8"/>
        <color theme="1"/>
        <rFont val="Tahoma"/>
        <family val="2"/>
        <charset val="238"/>
      </rPr>
      <t xml:space="preserve">               </t>
    </r>
  </si>
  <si>
    <t>…………………………………………..</t>
  </si>
  <si>
    <t>Podpis wnioskodawcy</t>
  </si>
  <si>
    <t xml:space="preserve">Załącznik nr 3 C do Wniosku o udzielenie pożyczki w ramach  Pożyczki Inwestycyjnej JEREMIE 2                                                                 przez Szczeciński Fundusz Pożyczkowy Sp. z o.o. </t>
  </si>
  <si>
    <t>średniorocznie</t>
  </si>
  <si>
    <t>wpisać nazwę, stawkę amortyzacji rocznej i wartość nabywanego środka jeżeli dotyczy</t>
  </si>
  <si>
    <t>wpisać nazwę, wartość nabywanego środka jeżeli dotyczy</t>
  </si>
  <si>
    <t>=</t>
  </si>
  <si>
    <t>WARTOŚĆ EKONOMICZNO FINANSOWA ( maksymalnie 9 pkt)</t>
  </si>
  <si>
    <t>NIEZBĘDNY WKŁAD WŁASNY W 1 ROKU</t>
  </si>
  <si>
    <t xml:space="preserve"> zużycie materiałów </t>
  </si>
  <si>
    <t xml:space="preserve"> benzyna  </t>
  </si>
  <si>
    <t xml:space="preserve"> remonty </t>
  </si>
  <si>
    <t xml:space="preserve"> raty leasingu operacyjnego </t>
  </si>
  <si>
    <t>liczba zatrudnionych</t>
  </si>
  <si>
    <t>lączne wynagrodzenia</t>
  </si>
  <si>
    <t xml:space="preserve">wpisać </t>
  </si>
  <si>
    <t xml:space="preserve">ubezpieczenia majątkowe i osobowe </t>
  </si>
  <si>
    <t xml:space="preserve"> koszty uboczne zakupu (rocznie)</t>
  </si>
  <si>
    <t xml:space="preserve"> koszty podrózy służbowych </t>
  </si>
  <si>
    <t>PLAN  KOSZTÓW EKSPLOATACYJNYCH</t>
  </si>
  <si>
    <t>WAGA KAŻDEGO WSKAŹNIKA</t>
  </si>
  <si>
    <t>WAGI ZAKRESÓW WSKAŹNIKÓW</t>
  </si>
  <si>
    <t>ROK</t>
  </si>
  <si>
    <t>wpisz rok w którym rozpocznie się udzielanie pożyczki</t>
  </si>
  <si>
    <t/>
  </si>
  <si>
    <t>KPIR</t>
  </si>
  <si>
    <t xml:space="preserve">dla 2 roku </t>
  </si>
  <si>
    <t>dla 3 roku</t>
  </si>
  <si>
    <t>spadek+/wzrost -</t>
  </si>
  <si>
    <t xml:space="preserve">          spłata raty kapitałowych z pożyczki JEREMIE (-)</t>
  </si>
  <si>
    <t xml:space="preserve">         spłata rat kapitałowych z  innych pożyczek lub kredytów i leasingu finansowego(-)</t>
  </si>
  <si>
    <t>ciepło , prąd, gaz , inne</t>
  </si>
  <si>
    <t>WARTOŚĆ AMORTYZACJI ZA ROK 0</t>
  </si>
  <si>
    <t>czynsz, opłata za wodę,  śmieci, części stałe itp..</t>
  </si>
  <si>
    <t xml:space="preserve"> usługi księgowe rachunkowe, konsultingowe, prawne itp..</t>
  </si>
  <si>
    <t xml:space="preserve">usługi informatyczne </t>
  </si>
  <si>
    <t xml:space="preserve">sprzątanie, ochrona, serwis, telekomunikacyjne </t>
  </si>
  <si>
    <t xml:space="preserve">reklama i promocja </t>
  </si>
  <si>
    <t>wszystkie pozostałe</t>
  </si>
  <si>
    <t xml:space="preserve"> podatek od nieruchomosci/wieczyste użytkowanie </t>
  </si>
  <si>
    <t xml:space="preserve"> podatek od środków transportu, opłaty środowiskowe itp.</t>
  </si>
  <si>
    <t>opłaty skarbowe i notarialne i inne opłaty i podatki</t>
  </si>
  <si>
    <t>Wynagrodzenia    (rocznie)</t>
  </si>
  <si>
    <t>rok 2</t>
  </si>
  <si>
    <t xml:space="preserve">PLAN KOSZTÓW ZAKUPU TOWARÓW I MATERIAŁÓW  </t>
  </si>
  <si>
    <t>Opis kalkulacji przyszłych przychodów i kosztów zakupu towarów i materiałów, (jeżeli występują):</t>
  </si>
  <si>
    <t xml:space="preserve">ZAŁĄCZNIK nr 1 </t>
  </si>
  <si>
    <t xml:space="preserve"> DO WNIOSKU O UDZIELENIE WSPARCIA Z INSTRUMENTÓW FINANSOWYCH</t>
  </si>
  <si>
    <t>(UWAGA: zamiast załącznika można dostarczyć biznes plan *)</t>
  </si>
  <si>
    <t xml:space="preserve">koszty paliwa  </t>
  </si>
  <si>
    <t xml:space="preserve">czynsz, opłaty za wodę, śmieci, części stałe itp. </t>
  </si>
  <si>
    <t xml:space="preserve">remonty  </t>
  </si>
  <si>
    <t>(proszę załączyć wydruk z ewidencji środków trwałych oraz harmonogramy spłat leasingów, pożyczek i kredytów)</t>
  </si>
  <si>
    <t>AKTYWA TRWAŁE DOTYCHCZASOWE</t>
  </si>
  <si>
    <r>
      <t xml:space="preserve">Wartość środków trwałych netto na koniec </t>
    </r>
    <r>
      <rPr>
        <b/>
        <sz val="11"/>
        <color rgb="FFFF0000"/>
        <rFont val="Calibri"/>
        <family val="2"/>
        <charset val="238"/>
      </rPr>
      <t xml:space="preserve">roku 0            </t>
    </r>
  </si>
  <si>
    <r>
      <t>*</t>
    </r>
    <r>
      <rPr>
        <b/>
        <sz val="11"/>
        <color theme="1"/>
        <rFont val="Cambria"/>
        <family val="1"/>
        <charset val="238"/>
      </rPr>
      <t>W przypadku pożyczki powyżej 1,5 mln zł „Biznes Plan” jest obligatoryjny</t>
    </r>
  </si>
  <si>
    <t>(DLA PODATNIKÓW KSIĄŻKI PRZYCHODÓW I ROZCHODÓW)</t>
  </si>
  <si>
    <r>
      <t>Za  rok 0 (</t>
    </r>
    <r>
      <rPr>
        <b/>
        <sz val="11"/>
        <color rgb="FFFF0000"/>
        <rFont val="Calibri"/>
        <family val="2"/>
        <charset val="238"/>
        <scheme val="minor"/>
      </rPr>
      <t>rok poprzedzający moment złożenia wniosku</t>
    </r>
    <r>
      <rPr>
        <sz val="11"/>
        <color theme="1"/>
        <rFont val="Calibri"/>
        <family val="2"/>
        <charset val="238"/>
        <scheme val="minor"/>
      </rPr>
      <t>) należy wpisać dane z Książki Przychodów i Rozchodów a za następne lata planowane wartości</t>
    </r>
  </si>
  <si>
    <t>WARTOŚĆ SPRZEDANYCH TOWARÓW I USŁUG I POZOSTAŁE PRZYCHODY RAZEM</t>
  </si>
  <si>
    <r>
      <t>PLAN sprzedanych towarów i usług</t>
    </r>
    <r>
      <rPr>
        <b/>
        <sz val="11"/>
        <color theme="1"/>
        <rFont val="Calibri"/>
        <family val="2"/>
        <charset val="238"/>
        <scheme val="minor"/>
      </rPr>
      <t xml:space="preserve"> NOWYCH </t>
    </r>
    <r>
      <rPr>
        <sz val="11"/>
        <color theme="1"/>
        <rFont val="Calibri"/>
        <family val="2"/>
        <charset val="238"/>
        <scheme val="minor"/>
      </rPr>
      <t>i pozostałych przychodów   - przychód</t>
    </r>
  </si>
  <si>
    <t>Przychody ze sprzedaży towarów i usług i pozostałych przychodów</t>
  </si>
  <si>
    <t>(poz.10 KPiR)</t>
  </si>
  <si>
    <t xml:space="preserve">PLAN SPRZEDAŻY        </t>
  </si>
  <si>
    <t xml:space="preserve"> (poz.9 KPiR)</t>
  </si>
  <si>
    <t>ZAKUP TOWARÓW HANDLOWYCH I MATERIAŁÓW WG CEN ZAKUPU RAZEM</t>
  </si>
  <si>
    <r>
      <t xml:space="preserve">PLAN zakupu towarów i materiałów </t>
    </r>
    <r>
      <rPr>
        <b/>
        <sz val="11"/>
        <color theme="1"/>
        <rFont val="Calibri"/>
        <family val="2"/>
        <charset val="238"/>
        <scheme val="minor"/>
      </rPr>
      <t>NOWYCH</t>
    </r>
    <r>
      <rPr>
        <sz val="11"/>
        <color theme="1"/>
        <rFont val="Calibri"/>
        <family val="2"/>
        <charset val="238"/>
        <scheme val="minor"/>
      </rPr>
      <t xml:space="preserve"> wg cen zakupu  </t>
    </r>
  </si>
  <si>
    <r>
      <t xml:space="preserve">PLAN UBOCZNYCH KOSZTÓW </t>
    </r>
    <r>
      <rPr>
        <b/>
        <sz val="11"/>
        <color rgb="FF000000"/>
        <rFont val="Calibri"/>
        <family val="2"/>
        <charset val="238"/>
      </rPr>
      <t>ZAKUPU RAZEM</t>
    </r>
  </si>
  <si>
    <t xml:space="preserve"> (poz. 11 KPiR)</t>
  </si>
  <si>
    <t>(poz.13 KPiR)</t>
  </si>
  <si>
    <t xml:space="preserve">PLAN POZOSTAŁYCH WYDATKÓW </t>
  </si>
  <si>
    <t>zużycie materiałów</t>
  </si>
  <si>
    <t>ciepło, prąd, gaz</t>
  </si>
  <si>
    <t xml:space="preserve">usługi księgowe rachunkowe, konsultingowe, prawne  </t>
  </si>
  <si>
    <t>usługi informatyczne</t>
  </si>
  <si>
    <r>
      <t xml:space="preserve">raty leasingu </t>
    </r>
    <r>
      <rPr>
        <b/>
        <sz val="12"/>
        <color theme="1"/>
        <rFont val="Calibri"/>
        <family val="2"/>
        <charset val="238"/>
      </rPr>
      <t xml:space="preserve">operacyjnego </t>
    </r>
  </si>
  <si>
    <t xml:space="preserve">sprzątanie, ochrona, serwis, telekomunikacyjne  </t>
  </si>
  <si>
    <t>koszty podróży służbowych</t>
  </si>
  <si>
    <t xml:space="preserve">podatek od nieruchomości /wieczyste użytkowanie </t>
  </si>
  <si>
    <t>podatek od środków transportu, opłaty środowiskowe  itp.</t>
  </si>
  <si>
    <t xml:space="preserve">opłaty skarbowe i notarialne </t>
  </si>
  <si>
    <t xml:space="preserve">ubezpieczenia społeczne i inne świadczenia             </t>
  </si>
  <si>
    <t xml:space="preserve">WYNAGRODZENIA W GOTÓWCE I NATURZE </t>
  </si>
  <si>
    <t>(poz.12 KPiR)</t>
  </si>
  <si>
    <t>Przychody ze sprzedaży towarów i usług</t>
  </si>
  <si>
    <t>amortyzacja</t>
  </si>
  <si>
    <r>
      <t xml:space="preserve">odsetki od </t>
    </r>
    <r>
      <rPr>
        <b/>
        <sz val="11"/>
        <color theme="1"/>
        <rFont val="Calibri"/>
        <family val="2"/>
        <charset val="238"/>
      </rPr>
      <t>dotychczasowych</t>
    </r>
    <r>
      <rPr>
        <sz val="11"/>
        <color theme="1"/>
        <rFont val="Calibri"/>
        <family val="2"/>
        <charset val="238"/>
      </rPr>
      <t xml:space="preserve"> kredytów, leasingów </t>
    </r>
    <r>
      <rPr>
        <b/>
        <sz val="12"/>
        <color theme="1"/>
        <rFont val="Calibri"/>
        <family val="2"/>
        <charset val="238"/>
      </rPr>
      <t>finansowych</t>
    </r>
    <r>
      <rPr>
        <sz val="11"/>
        <color theme="1"/>
        <rFont val="Calibri"/>
        <family val="2"/>
        <charset val="238"/>
      </rPr>
      <t xml:space="preserve"> i pożyczek</t>
    </r>
  </si>
  <si>
    <r>
      <t>Jeśli „Biznes Plan” zostanie załączony winien być on zarówno w formie papierowej lu skanem  jak i elektronicznej (arkusz kalkulacyjny z udostępnionymi do odczytu formułami) – wraz z opisanymi założeniami dotyczącymi kalkulacji sprzedaży i kosztów, jakie są wymienione w niniejszym załączniku oraz uwzględniać</t>
    </r>
    <r>
      <rPr>
        <b/>
        <sz val="12"/>
        <color theme="1"/>
        <rFont val="Calibri"/>
        <family val="2"/>
        <charset val="238"/>
      </rPr>
      <t xml:space="preserve"> kalkulację planowanego przedsięwzięcia oraz wpływ wydatku na wyniki finansowe całej firmy.  </t>
    </r>
  </si>
  <si>
    <r>
      <t>1.</t>
    </r>
    <r>
      <rPr>
        <b/>
        <sz val="14"/>
        <color theme="1"/>
        <rFont val="Times New Roman"/>
        <family val="1"/>
        <charset val="238"/>
      </rPr>
      <t xml:space="preserve">    </t>
    </r>
    <r>
      <rPr>
        <b/>
        <sz val="14"/>
        <color theme="1"/>
        <rFont val="Calibri"/>
        <family val="2"/>
        <charset val="238"/>
        <scheme val="minor"/>
      </rPr>
      <t xml:space="preserve">Plan sprzedaży i kosztów zakupu towarów w wyniku zrealizowania projektu  </t>
    </r>
  </si>
  <si>
    <r>
      <t>3.</t>
    </r>
    <r>
      <rPr>
        <b/>
        <sz val="14"/>
        <color theme="1"/>
        <rFont val="Times New Roman"/>
        <family val="1"/>
        <charset val="238"/>
      </rPr>
      <t xml:space="preserve">      </t>
    </r>
    <r>
      <rPr>
        <b/>
        <sz val="14"/>
        <color theme="1"/>
        <rFont val="Calibri"/>
        <family val="2"/>
        <charset val="238"/>
        <scheme val="minor"/>
      </rPr>
      <t xml:space="preserve">Wpisać wartości posiadanych już środków trwałych (bez planowanych do nabycia w wyniku pożyczki). Jeżeli w trakcie </t>
    </r>
    <r>
      <rPr>
        <b/>
        <sz val="14"/>
        <color rgb="FFFF0000"/>
        <rFont val="Calibri"/>
        <family val="2"/>
        <charset val="238"/>
        <scheme val="minor"/>
      </rPr>
      <t xml:space="preserve">roku 1 </t>
    </r>
    <r>
      <rPr>
        <b/>
        <sz val="14"/>
        <color theme="1"/>
        <rFont val="Calibri"/>
        <family val="2"/>
        <charset val="238"/>
        <scheme val="minor"/>
      </rPr>
      <t xml:space="preserve">zakupiono jakieś środki trwałe dodać ich wartość zakupu do wartości za </t>
    </r>
    <r>
      <rPr>
        <b/>
        <sz val="14"/>
        <color rgb="FFFF0000"/>
        <rFont val="Calibri"/>
        <family val="2"/>
        <charset val="238"/>
        <scheme val="minor"/>
      </rPr>
      <t xml:space="preserve">rok 0 </t>
    </r>
    <r>
      <rPr>
        <b/>
        <sz val="14"/>
        <color theme="1"/>
        <rFont val="Calibri"/>
        <family val="2"/>
        <charset val="238"/>
        <scheme val="minor"/>
      </rPr>
      <t>w odpowiednie wiersze w kolumnie „Wartość środków trwałych netto obecna”</t>
    </r>
  </si>
  <si>
    <t>PLAN ubocznych kosztów zakupu</t>
  </si>
  <si>
    <t xml:space="preserve"> RAZEM </t>
  </si>
  <si>
    <t>Należy opisać czy wydatki, na które zostanie przeznaczona pożyczka wpłyną na koszty eksploatacyjne firmy. Jakie koszty wzrosną a jakie spadną i dlaczego. Proszę wpisać w tabelę planowane wartości.</t>
  </si>
  <si>
    <r>
      <t xml:space="preserve">PLAN sprzedanych towarów i usług </t>
    </r>
    <r>
      <rPr>
        <b/>
        <sz val="11"/>
        <color rgb="FF000000"/>
        <rFont val="Calibri"/>
        <family val="2"/>
        <charset val="238"/>
      </rPr>
      <t>DOTYCHCZASOWYCH</t>
    </r>
    <r>
      <rPr>
        <sz val="11"/>
        <color rgb="FF000000"/>
        <rFont val="Calibri"/>
        <family val="2"/>
        <charset val="238"/>
      </rPr>
      <t xml:space="preserve"> i pozostałych przychodów  - przychód</t>
    </r>
  </si>
  <si>
    <r>
      <t xml:space="preserve">PLAN zakupu towarów i materiałów </t>
    </r>
    <r>
      <rPr>
        <b/>
        <sz val="11"/>
        <color rgb="FF000000"/>
        <rFont val="Calibri"/>
        <family val="2"/>
        <charset val="238"/>
      </rPr>
      <t>DOTYCHCZASOWYCH</t>
    </r>
    <r>
      <rPr>
        <sz val="11"/>
        <color rgb="FF000000"/>
        <rFont val="Calibri"/>
        <family val="2"/>
        <charset val="238"/>
      </rPr>
      <t xml:space="preserve"> wg cen zakupu </t>
    </r>
  </si>
  <si>
    <t xml:space="preserve">         </t>
  </si>
  <si>
    <t xml:space="preserve">        </t>
  </si>
  <si>
    <t>wpływ innego kredytu/pożyczki w 1 roku (+)</t>
  </si>
  <si>
    <t>wpisać tylko jeżeli będzie to nowa działalność</t>
  </si>
  <si>
    <t>wpisać tylkojeżeli będzie to nowa działalność</t>
  </si>
  <si>
    <r>
      <t xml:space="preserve">wartość zakupionego innego  środka trwałego </t>
    </r>
    <r>
      <rPr>
        <b/>
        <i/>
        <sz val="8"/>
        <color rgb="FF000000"/>
        <rFont val="Calibri"/>
        <family val="2"/>
        <charset val="238"/>
      </rPr>
      <t xml:space="preserve">(jeżeli dotyczy) </t>
    </r>
    <r>
      <rPr>
        <b/>
        <sz val="11"/>
        <color rgb="FF000000"/>
        <rFont val="Calibri"/>
        <family val="2"/>
        <charset val="238"/>
      </rPr>
      <t>w:</t>
    </r>
  </si>
  <si>
    <t>wpisać rok</t>
  </si>
  <si>
    <t>UWAGA !!!</t>
  </si>
  <si>
    <r>
      <t xml:space="preserve">WE WSZYSTKICH ARKUSZACH WYPEŁNIAĆ TYLKO </t>
    </r>
    <r>
      <rPr>
        <b/>
        <sz val="11"/>
        <color rgb="FFFF0000"/>
        <rFont val="Calibri"/>
        <family val="2"/>
        <charset val="238"/>
        <scheme val="minor"/>
      </rPr>
      <t>-NIEZAPISANE BIAŁE  POLA</t>
    </r>
    <r>
      <rPr>
        <sz val="11"/>
        <color rgb="FFFF0000"/>
        <rFont val="Calibri"/>
        <family val="2"/>
        <charset val="238"/>
        <scheme val="minor"/>
      </rPr>
      <t xml:space="preserve">  ORAZ JEŻELI WYMAGAJĄ ZMIANY  </t>
    </r>
    <r>
      <rPr>
        <b/>
        <sz val="11"/>
        <color rgb="FFFF0000"/>
        <rFont val="Calibri"/>
        <family val="2"/>
        <charset val="238"/>
        <scheme val="minor"/>
      </rPr>
      <t xml:space="preserve">-ŻÓŁTE POLA </t>
    </r>
  </si>
  <si>
    <t>WPISZ 0  DLA ROKU OBECNEGO ALBO  1 DLA ROKU</t>
  </si>
  <si>
    <r>
      <t xml:space="preserve">WE WSZYSTKICH ARKUSZACH WYPEŁNIAĆ TYLKO </t>
    </r>
    <r>
      <rPr>
        <b/>
        <sz val="11"/>
        <color rgb="FFFF0000"/>
        <rFont val="Calibri"/>
        <family val="2"/>
        <charset val="238"/>
        <scheme val="minor"/>
      </rPr>
      <t>-NIEZAPISANE BIAŁE  POLA</t>
    </r>
    <r>
      <rPr>
        <sz val="11"/>
        <color rgb="FFFF0000"/>
        <rFont val="Calibri"/>
        <family val="2"/>
        <charset val="238"/>
        <scheme val="minor"/>
      </rPr>
      <t xml:space="preserve">  ORAZ JEŻELI CHCEMY  ZMIENIĆ  </t>
    </r>
    <r>
      <rPr>
        <b/>
        <sz val="11"/>
        <color rgb="FFFF0000"/>
        <rFont val="Calibri"/>
        <family val="2"/>
        <charset val="238"/>
        <scheme val="minor"/>
      </rPr>
      <t xml:space="preserve">-ŻÓŁTE POLA </t>
    </r>
  </si>
  <si>
    <t>wpisz dane w białe pola</t>
  </si>
  <si>
    <t xml:space="preserve">Należy opisać, w jaki sposób wydatki, na które przeznaczona zostanie pożyczka wpłynie na dotychczasową sprzedaż produktów i usług lub /i towarów i materiałów i czy pojawi się nowa sprzedaż nowego produktu usługi lub towaru. Należy też wskazać: mocne strony przedsiębiorstwa , słabe strony przedsiębiorstwa, szanse oraz zagrożenia związane z funkcjonowaniem w otoczeniu 
</t>
  </si>
  <si>
    <r>
      <rPr>
        <b/>
        <sz val="14"/>
        <color theme="1"/>
        <rFont val="Calibri"/>
        <family val="2"/>
        <charset val="238"/>
        <scheme val="minor"/>
      </rPr>
      <t>2.</t>
    </r>
    <r>
      <rPr>
        <b/>
        <sz val="14"/>
        <color theme="1"/>
        <rFont val="Times New Roman"/>
        <family val="1"/>
        <charset val="238"/>
      </rPr>
      <t> </t>
    </r>
    <r>
      <rPr>
        <sz val="14"/>
        <color theme="1"/>
        <rFont val="Times New Roman"/>
        <family val="1"/>
        <charset val="238"/>
      </rPr>
      <t xml:space="preserve">      </t>
    </r>
    <r>
      <rPr>
        <b/>
        <sz val="14"/>
        <color theme="1"/>
        <rFont val="Calibri"/>
        <family val="2"/>
        <charset val="238"/>
        <scheme val="minor"/>
      </rPr>
      <t xml:space="preserve">Plan kosztów eksploatacyjnych całej firmy z uwzględnieniem planowanej inwestycji </t>
    </r>
  </si>
  <si>
    <t>I POŻYCZKA</t>
  </si>
  <si>
    <t>II POŻYCZKA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</si>
</sst>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0.0"/>
    <numFmt numFmtId="166" formatCode="00\-000"/>
    <numFmt numFmtId="167" formatCode="#,##0_ ;\-#,##0\ "/>
    <numFmt numFmtId="168" formatCode="0.0000"/>
    <numFmt numFmtId="169" formatCode="0.0%"/>
    <numFmt numFmtId="170" formatCode="#,##0.0"/>
  </numFmts>
  <fonts count="9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charset val="238"/>
    </font>
    <font>
      <sz val="10"/>
      <color indexed="12"/>
      <name val="Arial CE"/>
      <family val="2"/>
      <charset val="238"/>
    </font>
    <font>
      <sz val="10"/>
      <color rgb="FFFF0000"/>
      <name val="Arial CE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8"/>
      <color rgb="FF11346A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color theme="0"/>
      <name val="Calibri"/>
      <family val="2"/>
      <charset val="238"/>
      <scheme val="minor"/>
    </font>
    <font>
      <i/>
      <sz val="9"/>
      <color theme="1" tint="0.34998626667073579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u val="singleAccounting"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name val="Arial CE"/>
      <family val="2"/>
      <charset val="238"/>
    </font>
    <font>
      <i/>
      <sz val="10"/>
      <name val="Arial CE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i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10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4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mbria"/>
      <family val="1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u/>
      <sz val="12"/>
      <color rgb="FFFF000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0"/>
      <color rgb="FFFF0000"/>
      <name val="Tahoma"/>
      <family val="2"/>
      <charset val="238"/>
    </font>
    <font>
      <b/>
      <i/>
      <sz val="12"/>
      <color rgb="FFFF0000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i/>
      <sz val="8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CE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medium">
        <color indexed="64"/>
      </right>
      <top/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medium">
        <color indexed="64"/>
      </right>
      <top style="hair">
        <color rgb="FF00B0F0"/>
      </top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/>
      <diagonal/>
    </border>
    <border>
      <left style="hair">
        <color rgb="FF00B0F0"/>
      </left>
      <right style="hair">
        <color rgb="FF00B0F0"/>
      </right>
      <top style="hair">
        <color rgb="FF00B0F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B0F0"/>
      </left>
      <right/>
      <top/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E3DDC8"/>
      </bottom>
      <diagonal/>
    </border>
    <border>
      <left/>
      <right/>
      <top style="medium">
        <color rgb="FFFFFFFF"/>
      </top>
      <bottom style="medium">
        <color rgb="FFE3DDC8"/>
      </bottom>
      <diagonal/>
    </border>
    <border>
      <left/>
      <right style="medium">
        <color rgb="FFFFFFFF"/>
      </right>
      <top style="medium">
        <color rgb="FFFFFFFF"/>
      </top>
      <bottom style="medium">
        <color rgb="FFE3DDC8"/>
      </bottom>
      <diagonal/>
    </border>
    <border>
      <left style="medium">
        <color rgb="FFFFFFFF"/>
      </left>
      <right/>
      <top/>
      <bottom style="medium">
        <color rgb="FFE3DDC8"/>
      </bottom>
      <diagonal/>
    </border>
    <border>
      <left/>
      <right/>
      <top/>
      <bottom style="medium">
        <color rgb="FFE3DDC8"/>
      </bottom>
      <diagonal/>
    </border>
    <border>
      <left/>
      <right style="medium">
        <color rgb="FFFFFFFF"/>
      </right>
      <top/>
      <bottom style="medium">
        <color rgb="FFE3DDC8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thin">
        <color indexed="64"/>
      </bottom>
      <diagonal/>
    </border>
    <border>
      <left style="hair">
        <color rgb="FF00B0F0"/>
      </left>
      <right style="thin">
        <color indexed="64"/>
      </right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/>
      <diagonal/>
    </border>
    <border>
      <left style="hair">
        <color rgb="FF00B0F0"/>
      </left>
      <right style="thin">
        <color indexed="64"/>
      </right>
      <top style="hair">
        <color rgb="FF00B0F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</cellStyleXfs>
  <cellXfs count="822">
    <xf numFmtId="0" fontId="0" fillId="0" borderId="0" xfId="0"/>
    <xf numFmtId="164" fontId="11" fillId="4" borderId="0" xfId="5" applyFont="1" applyFill="1" applyBorder="1" applyAlignment="1" applyProtection="1">
      <alignment vertical="center"/>
      <protection hidden="1"/>
    </xf>
    <xf numFmtId="164" fontId="13" fillId="4" borderId="0" xfId="5" applyFont="1" applyFill="1" applyBorder="1" applyAlignment="1" applyProtection="1">
      <alignment vertical="center"/>
      <protection hidden="1"/>
    </xf>
    <xf numFmtId="164" fontId="11" fillId="4" borderId="0" xfId="5" applyFont="1" applyFill="1" applyBorder="1" applyAlignment="1" applyProtection="1">
      <alignment horizontal="center" vertical="center"/>
      <protection hidden="1"/>
    </xf>
    <xf numFmtId="0" fontId="16" fillId="9" borderId="8" xfId="5" applyNumberFormat="1" applyFont="1" applyFill="1" applyBorder="1" applyAlignment="1" applyProtection="1">
      <alignment horizontal="center" vertical="center" wrapText="1"/>
      <protection hidden="1"/>
    </xf>
    <xf numFmtId="167" fontId="11" fillId="10" borderId="11" xfId="5" applyNumberFormat="1" applyFont="1" applyFill="1" applyBorder="1" applyAlignment="1" applyProtection="1">
      <alignment horizontal="right" vertical="center"/>
      <protection hidden="1"/>
    </xf>
    <xf numFmtId="167" fontId="11" fillId="10" borderId="12" xfId="5" applyNumberFormat="1" applyFont="1" applyFill="1" applyBorder="1" applyAlignment="1" applyProtection="1">
      <alignment horizontal="right" vertical="center"/>
      <protection hidden="1"/>
    </xf>
    <xf numFmtId="167" fontId="11" fillId="8" borderId="11" xfId="5" applyNumberFormat="1" applyFont="1" applyFill="1" applyBorder="1" applyAlignment="1" applyProtection="1">
      <alignment horizontal="right" vertical="center"/>
      <protection hidden="1"/>
    </xf>
    <xf numFmtId="167" fontId="14" fillId="5" borderId="1" xfId="5" applyNumberFormat="1" applyFont="1" applyFill="1" applyBorder="1" applyAlignment="1" applyProtection="1">
      <alignment horizontal="right" vertical="center"/>
      <protection hidden="1"/>
    </xf>
    <xf numFmtId="167" fontId="14" fillId="5" borderId="2" xfId="5" applyNumberFormat="1" applyFont="1" applyFill="1" applyBorder="1" applyAlignment="1" applyProtection="1">
      <alignment horizontal="right" vertical="center"/>
      <protection hidden="1"/>
    </xf>
    <xf numFmtId="167" fontId="11" fillId="8" borderId="12" xfId="5" applyNumberFormat="1" applyFont="1" applyFill="1" applyBorder="1" applyAlignment="1" applyProtection="1">
      <alignment horizontal="right" vertical="center"/>
      <protection hidden="1"/>
    </xf>
    <xf numFmtId="0" fontId="18" fillId="14" borderId="0" xfId="0" applyFont="1" applyFill="1" applyAlignment="1" applyProtection="1">
      <alignment vertical="center" wrapText="1"/>
      <protection hidden="1"/>
    </xf>
    <xf numFmtId="3" fontId="11" fillId="8" borderId="11" xfId="5" applyNumberFormat="1" applyFont="1" applyFill="1" applyBorder="1" applyAlignment="1" applyProtection="1">
      <alignment horizontal="righ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left" vertical="center" wrapText="1"/>
      <protection hidden="1"/>
    </xf>
    <xf numFmtId="164" fontId="17" fillId="0" borderId="0" xfId="5" applyFont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167" fontId="11" fillId="0" borderId="0" xfId="0" applyNumberFormat="1" applyFont="1" applyProtection="1">
      <protection hidden="1"/>
    </xf>
    <xf numFmtId="168" fontId="19" fillId="0" borderId="0" xfId="0" applyNumberFormat="1" applyFont="1" applyProtection="1">
      <protection hidden="1"/>
    </xf>
    <xf numFmtId="168" fontId="11" fillId="0" borderId="0" xfId="0" applyNumberFormat="1" applyFont="1" applyProtection="1">
      <protection hidden="1"/>
    </xf>
    <xf numFmtId="3" fontId="11" fillId="4" borderId="0" xfId="0" applyNumberFormat="1" applyFont="1" applyFill="1" applyProtection="1">
      <protection hidden="1"/>
    </xf>
    <xf numFmtId="3" fontId="11" fillId="4" borderId="0" xfId="0" applyNumberFormat="1" applyFont="1" applyFill="1" applyAlignment="1" applyProtection="1">
      <alignment horizontal="center"/>
      <protection hidden="1"/>
    </xf>
    <xf numFmtId="3" fontId="17" fillId="13" borderId="17" xfId="0" applyNumberFormat="1" applyFont="1" applyFill="1" applyBorder="1" applyAlignment="1" applyProtection="1">
      <alignment horizontal="centerContinuous"/>
      <protection hidden="1"/>
    </xf>
    <xf numFmtId="3" fontId="17" fillId="13" borderId="24" xfId="5" applyNumberFormat="1" applyFont="1" applyFill="1" applyBorder="1" applyProtection="1">
      <protection hidden="1"/>
    </xf>
    <xf numFmtId="3" fontId="17" fillId="8" borderId="24" xfId="5" applyNumberFormat="1" applyFont="1" applyFill="1" applyBorder="1" applyProtection="1">
      <protection hidden="1"/>
    </xf>
    <xf numFmtId="3" fontId="16" fillId="13" borderId="20" xfId="5" applyNumberFormat="1" applyFont="1" applyFill="1" applyBorder="1" applyProtection="1">
      <protection hidden="1"/>
    </xf>
    <xf numFmtId="3" fontId="16" fillId="11" borderId="17" xfId="5" applyNumberFormat="1" applyFont="1" applyFill="1" applyBorder="1" applyProtection="1">
      <protection hidden="1"/>
    </xf>
    <xf numFmtId="3" fontId="16" fillId="11" borderId="20" xfId="5" applyNumberFormat="1" applyFont="1" applyFill="1" applyBorder="1" applyProtection="1">
      <protection hidden="1"/>
    </xf>
    <xf numFmtId="3" fontId="16" fillId="17" borderId="26" xfId="5" applyNumberFormat="1" applyFont="1" applyFill="1" applyBorder="1" applyProtection="1">
      <protection hidden="1"/>
    </xf>
    <xf numFmtId="3" fontId="16" fillId="13" borderId="26" xfId="5" applyNumberFormat="1" applyFont="1" applyFill="1" applyBorder="1" applyProtection="1">
      <protection hidden="1"/>
    </xf>
    <xf numFmtId="2" fontId="11" fillId="18" borderId="0" xfId="0" applyNumberFormat="1" applyFont="1" applyFill="1" applyProtection="1">
      <protection hidden="1"/>
    </xf>
    <xf numFmtId="2" fontId="11" fillId="18" borderId="28" xfId="0" applyNumberFormat="1" applyFont="1" applyFill="1" applyBorder="1" applyProtection="1">
      <protection hidden="1"/>
    </xf>
    <xf numFmtId="2" fontId="11" fillId="18" borderId="29" xfId="0" applyNumberFormat="1" applyFont="1" applyFill="1" applyBorder="1" applyProtection="1">
      <protection hidden="1"/>
    </xf>
    <xf numFmtId="2" fontId="11" fillId="18" borderId="30" xfId="0" applyNumberFormat="1" applyFont="1" applyFill="1" applyBorder="1" applyProtection="1">
      <protection hidden="1"/>
    </xf>
    <xf numFmtId="2" fontId="11" fillId="18" borderId="31" xfId="0" applyNumberFormat="1" applyFont="1" applyFill="1" applyBorder="1" applyProtection="1">
      <protection hidden="1"/>
    </xf>
    <xf numFmtId="2" fontId="11" fillId="18" borderId="32" xfId="0" applyNumberFormat="1" applyFont="1" applyFill="1" applyBorder="1" applyProtection="1">
      <protection hidden="1"/>
    </xf>
    <xf numFmtId="3" fontId="14" fillId="21" borderId="1" xfId="5" applyNumberFormat="1" applyFont="1" applyFill="1" applyBorder="1" applyAlignment="1" applyProtection="1">
      <alignment horizontal="right" vertical="center"/>
      <protection hidden="1"/>
    </xf>
    <xf numFmtId="0" fontId="11" fillId="8" borderId="0" xfId="0" applyFont="1" applyFill="1" applyProtection="1">
      <protection hidden="1"/>
    </xf>
    <xf numFmtId="3" fontId="14" fillId="21" borderId="2" xfId="5" applyNumberFormat="1" applyFont="1" applyFill="1" applyBorder="1" applyAlignment="1" applyProtection="1">
      <alignment horizontal="right" vertical="center"/>
      <protection hidden="1"/>
    </xf>
    <xf numFmtId="3" fontId="11" fillId="8" borderId="12" xfId="5" applyNumberFormat="1" applyFont="1" applyFill="1" applyBorder="1" applyAlignment="1" applyProtection="1">
      <alignment horizontal="right" vertical="center"/>
      <protection hidden="1"/>
    </xf>
    <xf numFmtId="3" fontId="17" fillId="8" borderId="25" xfId="5" applyNumberFormat="1" applyFont="1" applyFill="1" applyBorder="1" applyProtection="1">
      <protection hidden="1"/>
    </xf>
    <xf numFmtId="2" fontId="11" fillId="18" borderId="27" xfId="0" applyNumberFormat="1" applyFont="1" applyFill="1" applyBorder="1" applyProtection="1">
      <protection hidden="1"/>
    </xf>
    <xf numFmtId="2" fontId="11" fillId="18" borderId="37" xfId="0" applyNumberFormat="1" applyFont="1" applyFill="1" applyBorder="1" applyProtection="1">
      <protection hidden="1"/>
    </xf>
    <xf numFmtId="2" fontId="11" fillId="18" borderId="38" xfId="0" applyNumberFormat="1" applyFont="1" applyFill="1" applyBorder="1" applyProtection="1">
      <protection hidden="1"/>
    </xf>
    <xf numFmtId="2" fontId="11" fillId="8" borderId="40" xfId="0" applyNumberFormat="1" applyFont="1" applyFill="1" applyBorder="1" applyProtection="1">
      <protection hidden="1"/>
    </xf>
    <xf numFmtId="2" fontId="11" fillId="8" borderId="42" xfId="0" applyNumberFormat="1" applyFont="1" applyFill="1" applyBorder="1" applyProtection="1">
      <protection hidden="1"/>
    </xf>
    <xf numFmtId="167" fontId="14" fillId="9" borderId="1" xfId="5" applyNumberFormat="1" applyFont="1" applyFill="1" applyBorder="1" applyAlignment="1" applyProtection="1">
      <alignment horizontal="right" vertical="center"/>
      <protection hidden="1"/>
    </xf>
    <xf numFmtId="167" fontId="14" fillId="9" borderId="2" xfId="5" applyNumberFormat="1" applyFont="1" applyFill="1" applyBorder="1" applyAlignment="1" applyProtection="1">
      <alignment horizontal="right" vertical="center"/>
      <protection hidden="1"/>
    </xf>
    <xf numFmtId="3" fontId="16" fillId="23" borderId="17" xfId="5" applyNumberFormat="1" applyFont="1" applyFill="1" applyBorder="1" applyProtection="1">
      <protection hidden="1"/>
    </xf>
    <xf numFmtId="3" fontId="16" fillId="23" borderId="20" xfId="5" applyNumberFormat="1" applyFont="1" applyFill="1" applyBorder="1" applyProtection="1">
      <protection hidden="1"/>
    </xf>
    <xf numFmtId="3" fontId="11" fillId="8" borderId="11" xfId="5" applyNumberFormat="1" applyFont="1" applyFill="1" applyBorder="1" applyAlignment="1" applyProtection="1">
      <alignment horizontal="right" vertical="center"/>
      <protection locked="0"/>
    </xf>
    <xf numFmtId="3" fontId="11" fillId="21" borderId="1" xfId="5" applyNumberFormat="1" applyFont="1" applyFill="1" applyBorder="1" applyAlignment="1" applyProtection="1">
      <alignment horizontal="right" vertical="center"/>
      <protection locked="0"/>
    </xf>
    <xf numFmtId="167" fontId="11" fillId="8" borderId="11" xfId="5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hidden="1"/>
    </xf>
    <xf numFmtId="3" fontId="14" fillId="21" borderId="1" xfId="5" applyNumberFormat="1" applyFont="1" applyFill="1" applyBorder="1" applyAlignment="1" applyProtection="1">
      <alignment horizontal="right" vertical="center"/>
      <protection locked="0"/>
    </xf>
    <xf numFmtId="3" fontId="17" fillId="23" borderId="24" xfId="5" applyNumberFormat="1" applyFont="1" applyFill="1" applyBorder="1" applyProtection="1">
      <protection hidden="1"/>
    </xf>
    <xf numFmtId="3" fontId="11" fillId="15" borderId="1" xfId="5" applyNumberFormat="1" applyFont="1" applyFill="1" applyBorder="1" applyAlignment="1" applyProtection="1">
      <alignment horizontal="right" vertical="center"/>
      <protection hidden="1"/>
    </xf>
    <xf numFmtId="3" fontId="0" fillId="0" borderId="0" xfId="0" applyNumberFormat="1" applyProtection="1">
      <protection hidden="1"/>
    </xf>
    <xf numFmtId="3" fontId="0" fillId="0" borderId="40" xfId="0" applyNumberFormat="1" applyBorder="1" applyProtection="1">
      <protection hidden="1"/>
    </xf>
    <xf numFmtId="10" fontId="0" fillId="0" borderId="0" xfId="0" applyNumberFormat="1" applyProtection="1">
      <protection hidden="1"/>
    </xf>
    <xf numFmtId="3" fontId="0" fillId="0" borderId="6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wrapText="1"/>
      <protection hidden="1"/>
    </xf>
    <xf numFmtId="3" fontId="0" fillId="0" borderId="6" xfId="0" applyNumberFormat="1" applyBorder="1" applyAlignment="1" applyProtection="1">
      <alignment horizontal="center" wrapText="1"/>
      <protection hidden="1"/>
    </xf>
    <xf numFmtId="3" fontId="0" fillId="0" borderId="6" xfId="0" applyNumberFormat="1" applyBorder="1" applyProtection="1">
      <protection hidden="1"/>
    </xf>
    <xf numFmtId="3" fontId="0" fillId="0" borderId="16" xfId="0" applyNumberFormat="1" applyBorder="1" applyProtection="1">
      <protection hidden="1"/>
    </xf>
    <xf numFmtId="3" fontId="0" fillId="0" borderId="17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horizontal="center" wrapText="1"/>
      <protection hidden="1"/>
    </xf>
    <xf numFmtId="3" fontId="0" fillId="0" borderId="0" xfId="0" applyNumberFormat="1" applyAlignment="1" applyProtection="1">
      <alignment horizontal="right" wrapText="1"/>
      <protection hidden="1"/>
    </xf>
    <xf numFmtId="14" fontId="0" fillId="8" borderId="0" xfId="0" applyNumberFormat="1" applyFill="1" applyProtection="1">
      <protection hidden="1"/>
    </xf>
    <xf numFmtId="1" fontId="0" fillId="8" borderId="0" xfId="0" applyNumberFormat="1" applyFill="1" applyAlignment="1" applyProtection="1">
      <alignment horizontal="center"/>
      <protection hidden="1"/>
    </xf>
    <xf numFmtId="4" fontId="0" fillId="8" borderId="0" xfId="0" applyNumberFormat="1" applyFill="1" applyProtection="1">
      <protection hidden="1"/>
    </xf>
    <xf numFmtId="1" fontId="0" fillId="8" borderId="0" xfId="0" applyNumberFormat="1" applyFill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4" fontId="0" fillId="8" borderId="0" xfId="0" applyNumberFormat="1" applyFill="1" applyAlignment="1" applyProtection="1">
      <alignment horizontal="center"/>
      <protection hidden="1"/>
    </xf>
    <xf numFmtId="2" fontId="24" fillId="8" borderId="0" xfId="0" applyNumberFormat="1" applyFont="1" applyFill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4" fontId="27" fillId="8" borderId="0" xfId="0" applyNumberFormat="1" applyFont="1" applyFill="1" applyProtection="1">
      <protection hidden="1"/>
    </xf>
    <xf numFmtId="2" fontId="0" fillId="8" borderId="0" xfId="0" applyNumberFormat="1" applyFill="1" applyProtection="1">
      <protection hidden="1"/>
    </xf>
    <xf numFmtId="4" fontId="28" fillId="8" borderId="0" xfId="0" applyNumberFormat="1" applyFont="1" applyFill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17" fillId="30" borderId="49" xfId="0" applyFont="1" applyFill="1" applyBorder="1" applyAlignment="1" applyProtection="1">
      <alignment horizontal="left" vertical="center" wrapText="1" indent="1"/>
      <protection hidden="1"/>
    </xf>
    <xf numFmtId="0" fontId="33" fillId="30" borderId="50" xfId="0" applyFont="1" applyFill="1" applyBorder="1" applyAlignment="1" applyProtection="1">
      <alignment horizontal="left" vertical="center" wrapText="1" indent="1"/>
      <protection hidden="1"/>
    </xf>
    <xf numFmtId="0" fontId="33" fillId="30" borderId="51" xfId="0" applyFont="1" applyFill="1" applyBorder="1" applyAlignment="1" applyProtection="1">
      <alignment horizontal="left" vertical="center" wrapText="1" indent="1"/>
      <protection hidden="1"/>
    </xf>
    <xf numFmtId="0" fontId="33" fillId="30" borderId="52" xfId="0" applyFont="1" applyFill="1" applyBorder="1" applyAlignment="1" applyProtection="1">
      <alignment horizontal="left" vertical="center" wrapText="1" indent="1"/>
      <protection hidden="1"/>
    </xf>
    <xf numFmtId="0" fontId="33" fillId="30" borderId="53" xfId="0" applyFont="1" applyFill="1" applyBorder="1" applyAlignment="1" applyProtection="1">
      <alignment horizontal="left" vertical="center" wrapText="1" indent="1"/>
      <protection hidden="1"/>
    </xf>
    <xf numFmtId="0" fontId="33" fillId="30" borderId="54" xfId="0" applyFont="1" applyFill="1" applyBorder="1" applyAlignment="1" applyProtection="1">
      <alignment horizontal="left" vertical="center" wrapText="1" indent="1"/>
      <protection hidden="1"/>
    </xf>
    <xf numFmtId="0" fontId="17" fillId="31" borderId="55" xfId="0" applyFont="1" applyFill="1" applyBorder="1" applyAlignment="1" applyProtection="1">
      <alignment horizontal="left" vertical="top" wrapText="1" indent="1"/>
      <protection hidden="1"/>
    </xf>
    <xf numFmtId="0" fontId="29" fillId="31" borderId="56" xfId="0" applyFont="1" applyFill="1" applyBorder="1" applyAlignment="1" applyProtection="1">
      <alignment horizontal="left" vertical="top" wrapText="1" indent="1"/>
      <protection hidden="1"/>
    </xf>
    <xf numFmtId="0" fontId="29" fillId="32" borderId="57" xfId="0" applyFont="1" applyFill="1" applyBorder="1" applyAlignment="1" applyProtection="1">
      <alignment horizontal="left" vertical="top" wrapText="1" indent="1"/>
      <protection hidden="1"/>
    </xf>
    <xf numFmtId="0" fontId="29" fillId="31" borderId="58" xfId="0" applyFont="1" applyFill="1" applyBorder="1" applyAlignment="1" applyProtection="1">
      <alignment horizontal="left" vertical="top" wrapText="1" indent="1"/>
      <protection hidden="1"/>
    </xf>
    <xf numFmtId="0" fontId="29" fillId="31" borderId="59" xfId="0" applyFont="1" applyFill="1" applyBorder="1" applyAlignment="1" applyProtection="1">
      <alignment horizontal="left" vertical="top" wrapText="1" indent="1"/>
      <protection hidden="1"/>
    </xf>
    <xf numFmtId="0" fontId="29" fillId="32" borderId="60" xfId="0" applyFont="1" applyFill="1" applyBorder="1" applyAlignment="1" applyProtection="1">
      <alignment horizontal="left" vertical="top" wrapText="1" indent="1"/>
      <protection hidden="1"/>
    </xf>
    <xf numFmtId="0" fontId="29" fillId="31" borderId="61" xfId="0" applyFont="1" applyFill="1" applyBorder="1" applyAlignment="1" applyProtection="1">
      <alignment horizontal="left" vertical="top" wrapText="1" indent="1"/>
      <protection hidden="1"/>
    </xf>
    <xf numFmtId="0" fontId="29" fillId="31" borderId="62" xfId="0" applyFont="1" applyFill="1" applyBorder="1" applyAlignment="1" applyProtection="1">
      <alignment horizontal="left" vertical="top" wrapText="1" indent="1"/>
      <protection hidden="1"/>
    </xf>
    <xf numFmtId="0" fontId="29" fillId="32" borderId="63" xfId="0" applyFont="1" applyFill="1" applyBorder="1" applyAlignment="1" applyProtection="1">
      <alignment horizontal="left" vertical="top" wrapText="1" indent="1"/>
      <protection hidden="1"/>
    </xf>
    <xf numFmtId="0" fontId="29" fillId="31" borderId="55" xfId="0" applyFont="1" applyFill="1" applyBorder="1" applyAlignment="1" applyProtection="1">
      <alignment horizontal="left" vertical="top" wrapText="1" indent="1"/>
      <protection hidden="1"/>
    </xf>
    <xf numFmtId="0" fontId="15" fillId="31" borderId="58" xfId="0" applyFont="1" applyFill="1" applyBorder="1" applyAlignment="1" applyProtection="1">
      <alignment horizontal="left" vertical="top" wrapText="1" indent="1"/>
      <protection hidden="1"/>
    </xf>
    <xf numFmtId="0" fontId="15" fillId="31" borderId="59" xfId="0" applyFont="1" applyFill="1" applyBorder="1" applyAlignment="1" applyProtection="1">
      <alignment horizontal="left" vertical="top" wrapText="1" indent="1"/>
      <protection hidden="1"/>
    </xf>
    <xf numFmtId="0" fontId="15" fillId="32" borderId="60" xfId="0" applyFont="1" applyFill="1" applyBorder="1" applyAlignment="1" applyProtection="1">
      <alignment horizontal="left" vertical="top" wrapText="1" indent="1"/>
      <protection hidden="1"/>
    </xf>
    <xf numFmtId="0" fontId="15" fillId="31" borderId="56" xfId="0" applyFont="1" applyFill="1" applyBorder="1" applyAlignment="1" applyProtection="1">
      <alignment horizontal="left" vertical="top" wrapText="1" indent="1"/>
      <protection hidden="1"/>
    </xf>
    <xf numFmtId="0" fontId="15" fillId="32" borderId="57" xfId="0" applyFont="1" applyFill="1" applyBorder="1" applyAlignment="1" applyProtection="1">
      <alignment horizontal="left" vertical="top" wrapText="1" indent="1"/>
      <protection hidden="1"/>
    </xf>
    <xf numFmtId="169" fontId="1" fillId="7" borderId="1" xfId="0" applyNumberFormat="1" applyFont="1" applyFill="1" applyBorder="1" applyProtection="1">
      <protection locked="0"/>
    </xf>
    <xf numFmtId="169" fontId="1" fillId="8" borderId="1" xfId="0" applyNumberFormat="1" applyFont="1" applyFill="1" applyBorder="1" applyProtection="1">
      <protection locked="0"/>
    </xf>
    <xf numFmtId="169" fontId="1" fillId="7" borderId="5" xfId="0" applyNumberFormat="1" applyFont="1" applyFill="1" applyBorder="1" applyProtection="1">
      <protection locked="0"/>
    </xf>
    <xf numFmtId="3" fontId="14" fillId="15" borderId="1" xfId="5" applyNumberFormat="1" applyFont="1" applyFill="1" applyBorder="1" applyAlignment="1" applyProtection="1">
      <alignment horizontal="right" vertical="center"/>
      <protection hidden="1"/>
    </xf>
    <xf numFmtId="3" fontId="30" fillId="8" borderId="1" xfId="0" applyNumberFormat="1" applyFont="1" applyFill="1" applyBorder="1" applyProtection="1">
      <protection locked="0"/>
    </xf>
    <xf numFmtId="3" fontId="9" fillId="0" borderId="1" xfId="0" applyNumberFormat="1" applyFont="1" applyBorder="1" applyProtection="1">
      <protection locked="0"/>
    </xf>
    <xf numFmtId="3" fontId="14" fillId="21" borderId="1" xfId="5" applyNumberFormat="1" applyFont="1" applyFill="1" applyBorder="1" applyAlignment="1" applyProtection="1">
      <alignment vertical="center"/>
      <protection locked="0"/>
    </xf>
    <xf numFmtId="3" fontId="14" fillId="8" borderId="1" xfId="0" applyNumberFormat="1" applyFont="1" applyFill="1" applyBorder="1" applyAlignment="1" applyProtection="1">
      <alignment horizontal="right" vertical="center" wrapText="1"/>
      <protection locked="0"/>
    </xf>
    <xf numFmtId="3" fontId="16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11" fillId="4" borderId="11" xfId="5" applyNumberFormat="1" applyFont="1" applyFill="1" applyBorder="1" applyAlignment="1" applyProtection="1">
      <alignment horizontal="right" vertical="center"/>
      <protection hidden="1"/>
    </xf>
    <xf numFmtId="3" fontId="11" fillId="8" borderId="19" xfId="5" applyNumberFormat="1" applyFont="1" applyFill="1" applyBorder="1" applyAlignment="1" applyProtection="1">
      <alignment horizontal="right" vertical="center"/>
      <protection hidden="1"/>
    </xf>
    <xf numFmtId="164" fontId="17" fillId="8" borderId="0" xfId="5" applyFont="1" applyFill="1" applyBorder="1" applyAlignment="1" applyProtection="1">
      <alignment horizontal="right" vertical="center"/>
      <protection hidden="1"/>
    </xf>
    <xf numFmtId="0" fontId="14" fillId="9" borderId="14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15" xfId="5" applyNumberFormat="1" applyFont="1" applyFill="1" applyBorder="1" applyAlignment="1" applyProtection="1">
      <alignment horizontal="center" vertical="center" wrapText="1"/>
      <protection hidden="1"/>
    </xf>
    <xf numFmtId="0" fontId="17" fillId="8" borderId="12" xfId="0" applyFont="1" applyFill="1" applyBorder="1" applyAlignment="1" applyProtection="1">
      <alignment horizontal="right" vertical="center"/>
      <protection hidden="1"/>
    </xf>
    <xf numFmtId="0" fontId="35" fillId="26" borderId="45" xfId="0" applyFont="1" applyFill="1" applyBorder="1" applyAlignment="1" applyProtection="1">
      <alignment vertical="center"/>
      <protection hidden="1"/>
    </xf>
    <xf numFmtId="3" fontId="35" fillId="27" borderId="43" xfId="5" applyNumberFormat="1" applyFont="1" applyFill="1" applyBorder="1" applyAlignment="1" applyProtection="1">
      <alignment horizontal="right" vertical="center"/>
      <protection hidden="1"/>
    </xf>
    <xf numFmtId="3" fontId="14" fillId="16" borderId="1" xfId="0" applyNumberFormat="1" applyFont="1" applyFill="1" applyBorder="1" applyProtection="1">
      <protection hidden="1"/>
    </xf>
    <xf numFmtId="3" fontId="17" fillId="16" borderId="1" xfId="0" applyNumberFormat="1" applyFont="1" applyFill="1" applyBorder="1" applyProtection="1">
      <protection hidden="1"/>
    </xf>
    <xf numFmtId="3" fontId="17" fillId="16" borderId="64" xfId="0" applyNumberFormat="1" applyFont="1" applyFill="1" applyBorder="1" applyProtection="1">
      <protection hidden="1"/>
    </xf>
    <xf numFmtId="3" fontId="17" fillId="16" borderId="41" xfId="0" applyNumberFormat="1" applyFont="1" applyFill="1" applyBorder="1" applyProtection="1">
      <protection hidden="1"/>
    </xf>
    <xf numFmtId="3" fontId="17" fillId="16" borderId="65" xfId="0" applyNumberFormat="1" applyFont="1" applyFill="1" applyBorder="1" applyProtection="1">
      <protection hidden="1"/>
    </xf>
    <xf numFmtId="3" fontId="17" fillId="16" borderId="66" xfId="0" applyNumberFormat="1" applyFont="1" applyFill="1" applyBorder="1" applyProtection="1">
      <protection hidden="1"/>
    </xf>
    <xf numFmtId="3" fontId="17" fillId="16" borderId="0" xfId="0" applyNumberFormat="1" applyFont="1" applyFill="1" applyProtection="1">
      <protection hidden="1"/>
    </xf>
    <xf numFmtId="3" fontId="17" fillId="16" borderId="25" xfId="0" applyNumberFormat="1" applyFont="1" applyFill="1" applyBorder="1" applyProtection="1">
      <protection hidden="1"/>
    </xf>
    <xf numFmtId="3" fontId="17" fillId="16" borderId="3" xfId="0" applyNumberFormat="1" applyFont="1" applyFill="1" applyBorder="1" applyProtection="1">
      <protection hidden="1"/>
    </xf>
    <xf numFmtId="3" fontId="17" fillId="16" borderId="40" xfId="0" applyNumberFormat="1" applyFont="1" applyFill="1" applyBorder="1" applyProtection="1">
      <protection hidden="1"/>
    </xf>
    <xf numFmtId="3" fontId="17" fillId="16" borderId="24" xfId="0" applyNumberFormat="1" applyFont="1" applyFill="1" applyBorder="1" applyProtection="1">
      <protection hidden="1"/>
    </xf>
    <xf numFmtId="3" fontId="16" fillId="16" borderId="1" xfId="0" applyNumberFormat="1" applyFont="1" applyFill="1" applyBorder="1" applyProtection="1">
      <protection hidden="1"/>
    </xf>
    <xf numFmtId="3" fontId="9" fillId="8" borderId="1" xfId="0" applyNumberFormat="1" applyFont="1" applyFill="1" applyBorder="1" applyProtection="1">
      <protection locked="0"/>
    </xf>
    <xf numFmtId="3" fontId="30" fillId="7" borderId="1" xfId="0" applyNumberFormat="1" applyFont="1" applyFill="1" applyBorder="1" applyProtection="1">
      <protection locked="0"/>
    </xf>
    <xf numFmtId="3" fontId="30" fillId="8" borderId="48" xfId="0" applyNumberFormat="1" applyFont="1" applyFill="1" applyBorder="1" applyProtection="1">
      <protection locked="0"/>
    </xf>
    <xf numFmtId="3" fontId="30" fillId="8" borderId="4" xfId="0" applyNumberFormat="1" applyFont="1" applyFill="1" applyBorder="1" applyProtection="1">
      <protection locked="0"/>
    </xf>
    <xf numFmtId="3" fontId="40" fillId="7" borderId="1" xfId="0" applyNumberFormat="1" applyFont="1" applyFill="1" applyBorder="1" applyProtection="1">
      <protection locked="0"/>
    </xf>
    <xf numFmtId="0" fontId="24" fillId="8" borderId="0" xfId="0" applyFont="1" applyFill="1" applyAlignment="1" applyProtection="1">
      <alignment horizontal="center"/>
      <protection hidden="1"/>
    </xf>
    <xf numFmtId="0" fontId="14" fillId="9" borderId="15" xfId="0" applyFont="1" applyFill="1" applyBorder="1" applyAlignment="1" applyProtection="1">
      <alignment horizontal="center"/>
      <protection hidden="1"/>
    </xf>
    <xf numFmtId="0" fontId="16" fillId="9" borderId="14" xfId="5" applyNumberFormat="1" applyFont="1" applyFill="1" applyBorder="1" applyAlignment="1" applyProtection="1">
      <alignment horizontal="center" vertical="center" wrapText="1"/>
      <protection hidden="1"/>
    </xf>
    <xf numFmtId="0" fontId="17" fillId="18" borderId="67" xfId="0" applyFont="1" applyFill="1" applyBorder="1" applyProtection="1">
      <protection hidden="1"/>
    </xf>
    <xf numFmtId="0" fontId="11" fillId="0" borderId="25" xfId="0" applyFont="1" applyBorder="1" applyProtection="1">
      <protection hidden="1"/>
    </xf>
    <xf numFmtId="0" fontId="17" fillId="18" borderId="68" xfId="0" applyFont="1" applyFill="1" applyBorder="1" applyProtection="1">
      <protection hidden="1"/>
    </xf>
    <xf numFmtId="0" fontId="17" fillId="8" borderId="69" xfId="0" applyFont="1" applyFill="1" applyBorder="1" applyProtection="1">
      <protection hidden="1"/>
    </xf>
    <xf numFmtId="3" fontId="16" fillId="21" borderId="1" xfId="5" applyNumberFormat="1" applyFont="1" applyFill="1" applyBorder="1" applyAlignment="1" applyProtection="1">
      <alignment horizontal="right" vertical="center"/>
      <protection hidden="1"/>
    </xf>
    <xf numFmtId="164" fontId="11" fillId="0" borderId="0" xfId="0" applyNumberFormat="1" applyFont="1" applyProtection="1">
      <protection hidden="1"/>
    </xf>
    <xf numFmtId="3" fontId="0" fillId="0" borderId="64" xfId="0" applyNumberFormat="1" applyBorder="1" applyProtection="1">
      <protection hidden="1"/>
    </xf>
    <xf numFmtId="3" fontId="0" fillId="0" borderId="41" xfId="0" applyNumberFormat="1" applyBorder="1" applyProtection="1">
      <protection hidden="1"/>
    </xf>
    <xf numFmtId="0" fontId="0" fillId="0" borderId="66" xfId="0" applyBorder="1" applyProtection="1">
      <protection hidden="1"/>
    </xf>
    <xf numFmtId="3" fontId="0" fillId="0" borderId="3" xfId="0" applyNumberFormat="1" applyBorder="1" applyProtection="1">
      <protection hidden="1"/>
    </xf>
    <xf numFmtId="164" fontId="10" fillId="4" borderId="64" xfId="5" applyFont="1" applyFill="1" applyBorder="1" applyAlignment="1" applyProtection="1">
      <alignment horizontal="centerContinuous" vertical="center"/>
      <protection hidden="1"/>
    </xf>
    <xf numFmtId="164" fontId="11" fillId="4" borderId="41" xfId="5" applyFont="1" applyFill="1" applyBorder="1" applyAlignment="1" applyProtection="1">
      <alignment vertical="center"/>
      <protection hidden="1"/>
    </xf>
    <xf numFmtId="0" fontId="11" fillId="4" borderId="41" xfId="6" applyFont="1" applyFill="1" applyBorder="1" applyProtection="1">
      <protection hidden="1"/>
    </xf>
    <xf numFmtId="164" fontId="12" fillId="4" borderId="66" xfId="5" applyFont="1" applyFill="1" applyBorder="1" applyAlignment="1" applyProtection="1">
      <alignment horizontal="centerContinuous" vertical="center"/>
      <protection hidden="1"/>
    </xf>
    <xf numFmtId="164" fontId="11" fillId="4" borderId="25" xfId="5" applyFont="1" applyFill="1" applyBorder="1" applyAlignment="1" applyProtection="1">
      <alignment vertical="center"/>
      <protection hidden="1"/>
    </xf>
    <xf numFmtId="164" fontId="11" fillId="4" borderId="66" xfId="5" applyFont="1" applyFill="1" applyBorder="1" applyAlignment="1" applyProtection="1">
      <alignment horizontal="left" vertical="center"/>
      <protection hidden="1"/>
    </xf>
    <xf numFmtId="164" fontId="14" fillId="9" borderId="2" xfId="5" applyFont="1" applyFill="1" applyBorder="1" applyAlignment="1" applyProtection="1">
      <alignment horizontal="left" vertical="center"/>
      <protection hidden="1"/>
    </xf>
    <xf numFmtId="0" fontId="11" fillId="10" borderId="66" xfId="6" applyFont="1" applyFill="1" applyBorder="1" applyProtection="1">
      <protection hidden="1"/>
    </xf>
    <xf numFmtId="164" fontId="11" fillId="8" borderId="12" xfId="5" applyFont="1" applyFill="1" applyBorder="1" applyAlignment="1" applyProtection="1">
      <alignment horizontal="right" vertical="center"/>
      <protection hidden="1"/>
    </xf>
    <xf numFmtId="164" fontId="14" fillId="5" borderId="2" xfId="5" applyFont="1" applyFill="1" applyBorder="1" applyAlignment="1" applyProtection="1">
      <alignment horizontal="left" vertical="center"/>
      <protection hidden="1"/>
    </xf>
    <xf numFmtId="164" fontId="11" fillId="10" borderId="12" xfId="5" applyFont="1" applyFill="1" applyBorder="1" applyAlignment="1" applyProtection="1">
      <alignment horizontal="right" vertical="center"/>
      <protection hidden="1"/>
    </xf>
    <xf numFmtId="0" fontId="11" fillId="8" borderId="25" xfId="0" applyFont="1" applyFill="1" applyBorder="1" applyProtection="1">
      <protection hidden="1"/>
    </xf>
    <xf numFmtId="164" fontId="11" fillId="8" borderId="66" xfId="5" applyFont="1" applyFill="1" applyBorder="1" applyAlignment="1" applyProtection="1">
      <alignment horizontal="right" vertical="center"/>
      <protection hidden="1"/>
    </xf>
    <xf numFmtId="3" fontId="35" fillId="8" borderId="5" xfId="0" applyNumberFormat="1" applyFont="1" applyFill="1" applyBorder="1" applyProtection="1">
      <protection locked="0"/>
    </xf>
    <xf numFmtId="3" fontId="0" fillId="8" borderId="0" xfId="0" applyNumberFormat="1" applyFill="1" applyAlignment="1" applyProtection="1">
      <alignment horizontal="center" wrapText="1"/>
      <protection hidden="1"/>
    </xf>
    <xf numFmtId="0" fontId="11" fillId="23" borderId="1" xfId="0" applyFont="1" applyFill="1" applyBorder="1" applyAlignment="1" applyProtection="1">
      <alignment horizontal="center" vertical="center" wrapText="1"/>
      <protection hidden="1"/>
    </xf>
    <xf numFmtId="0" fontId="11" fillId="23" borderId="1" xfId="0" applyFont="1" applyFill="1" applyBorder="1" applyAlignment="1" applyProtection="1">
      <alignment horizontal="center" wrapText="1"/>
      <protection hidden="1"/>
    </xf>
    <xf numFmtId="0" fontId="11" fillId="4" borderId="64" xfId="0" applyFont="1" applyFill="1" applyBorder="1" applyAlignment="1" applyProtection="1">
      <alignment horizontal="centerContinuous"/>
      <protection hidden="1"/>
    </xf>
    <xf numFmtId="3" fontId="11" fillId="4" borderId="41" xfId="0" applyNumberFormat="1" applyFont="1" applyFill="1" applyBorder="1" applyProtection="1">
      <protection hidden="1"/>
    </xf>
    <xf numFmtId="3" fontId="11" fillId="4" borderId="65" xfId="0" applyNumberFormat="1" applyFont="1" applyFill="1" applyBorder="1" applyProtection="1">
      <protection hidden="1"/>
    </xf>
    <xf numFmtId="0" fontId="11" fillId="4" borderId="66" xfId="0" applyFont="1" applyFill="1" applyBorder="1" applyAlignment="1" applyProtection="1">
      <alignment horizontal="centerContinuous"/>
      <protection hidden="1"/>
    </xf>
    <xf numFmtId="3" fontId="11" fillId="4" borderId="25" xfId="0" applyNumberFormat="1" applyFont="1" applyFill="1" applyBorder="1" applyProtection="1">
      <protection hidden="1"/>
    </xf>
    <xf numFmtId="0" fontId="11" fillId="4" borderId="66" xfId="0" applyFont="1" applyFill="1" applyBorder="1" applyProtection="1">
      <protection hidden="1"/>
    </xf>
    <xf numFmtId="3" fontId="11" fillId="4" borderId="25" xfId="0" applyNumberFormat="1" applyFont="1" applyFill="1" applyBorder="1" applyAlignment="1" applyProtection="1">
      <alignment horizontal="center"/>
      <protection hidden="1"/>
    </xf>
    <xf numFmtId="0" fontId="16" fillId="9" borderId="8" xfId="0" applyFont="1" applyFill="1" applyBorder="1" applyAlignment="1" applyProtection="1">
      <alignment horizontal="centerContinuous"/>
      <protection hidden="1"/>
    </xf>
    <xf numFmtId="0" fontId="16" fillId="13" borderId="74" xfId="0" applyFont="1" applyFill="1" applyBorder="1" applyProtection="1">
      <protection hidden="1"/>
    </xf>
    <xf numFmtId="3" fontId="17" fillId="13" borderId="75" xfId="0" applyNumberFormat="1" applyFont="1" applyFill="1" applyBorder="1" applyAlignment="1" applyProtection="1">
      <alignment horizontal="centerContinuous"/>
      <protection hidden="1"/>
    </xf>
    <xf numFmtId="0" fontId="17" fillId="13" borderId="5" xfId="0" applyFont="1" applyFill="1" applyBorder="1" applyProtection="1">
      <protection hidden="1"/>
    </xf>
    <xf numFmtId="0" fontId="17" fillId="13" borderId="76" xfId="0" applyFont="1" applyFill="1" applyBorder="1" applyProtection="1">
      <protection hidden="1"/>
    </xf>
    <xf numFmtId="0" fontId="16" fillId="13" borderId="8" xfId="0" applyFont="1" applyFill="1" applyBorder="1" applyProtection="1">
      <protection hidden="1"/>
    </xf>
    <xf numFmtId="0" fontId="16" fillId="23" borderId="74" xfId="0" applyFont="1" applyFill="1" applyBorder="1" applyProtection="1">
      <protection hidden="1"/>
    </xf>
    <xf numFmtId="3" fontId="16" fillId="23" borderId="75" xfId="5" applyNumberFormat="1" applyFont="1" applyFill="1" applyBorder="1" applyProtection="1">
      <protection hidden="1"/>
    </xf>
    <xf numFmtId="0" fontId="17" fillId="23" borderId="5" xfId="0" applyFont="1" applyFill="1" applyBorder="1" applyProtection="1">
      <protection hidden="1"/>
    </xf>
    <xf numFmtId="0" fontId="17" fillId="23" borderId="11" xfId="0" applyFont="1" applyFill="1" applyBorder="1" applyAlignment="1" applyProtection="1">
      <alignment horizontal="left" vertical="center" wrapText="1"/>
      <protection hidden="1"/>
    </xf>
    <xf numFmtId="0" fontId="16" fillId="23" borderId="8" xfId="0" applyFont="1" applyFill="1" applyBorder="1" applyProtection="1">
      <protection hidden="1"/>
    </xf>
    <xf numFmtId="0" fontId="16" fillId="11" borderId="74" xfId="0" applyFont="1" applyFill="1" applyBorder="1" applyProtection="1">
      <protection hidden="1"/>
    </xf>
    <xf numFmtId="3" fontId="16" fillId="11" borderId="75" xfId="5" applyNumberFormat="1" applyFont="1" applyFill="1" applyBorder="1" applyProtection="1">
      <protection hidden="1"/>
    </xf>
    <xf numFmtId="0" fontId="17" fillId="11" borderId="5" xfId="0" applyFont="1" applyFill="1" applyBorder="1" applyProtection="1">
      <protection hidden="1"/>
    </xf>
    <xf numFmtId="164" fontId="17" fillId="11" borderId="11" xfId="5" applyFont="1" applyFill="1" applyBorder="1" applyAlignment="1" applyProtection="1">
      <alignment vertical="center" wrapText="1"/>
      <protection hidden="1"/>
    </xf>
    <xf numFmtId="0" fontId="16" fillId="11" borderId="8" xfId="0" applyFont="1" applyFill="1" applyBorder="1" applyProtection="1">
      <protection hidden="1"/>
    </xf>
    <xf numFmtId="0" fontId="16" fillId="17" borderId="14" xfId="0" applyFont="1" applyFill="1" applyBorder="1" applyProtection="1">
      <protection hidden="1"/>
    </xf>
    <xf numFmtId="0" fontId="16" fillId="13" borderId="14" xfId="0" applyFont="1" applyFill="1" applyBorder="1" applyProtection="1">
      <protection hidden="1"/>
    </xf>
    <xf numFmtId="0" fontId="16" fillId="12" borderId="1" xfId="0" applyFont="1" applyFill="1" applyBorder="1" applyProtection="1">
      <protection hidden="1"/>
    </xf>
    <xf numFmtId="3" fontId="16" fillId="12" borderId="48" xfId="5" applyNumberFormat="1" applyFont="1" applyFill="1" applyBorder="1" applyProtection="1">
      <protection hidden="1"/>
    </xf>
    <xf numFmtId="0" fontId="16" fillId="9" borderId="9" xfId="0" applyFont="1" applyFill="1" applyBorder="1" applyAlignment="1" applyProtection="1">
      <alignment horizontal="centerContinuous"/>
      <protection hidden="1"/>
    </xf>
    <xf numFmtId="0" fontId="17" fillId="13" borderId="74" xfId="0" applyFont="1" applyFill="1" applyBorder="1" applyAlignment="1" applyProtection="1">
      <alignment horizontal="centerContinuous"/>
      <protection hidden="1"/>
    </xf>
    <xf numFmtId="0" fontId="17" fillId="13" borderId="3" xfId="0" applyFont="1" applyFill="1" applyBorder="1" applyProtection="1">
      <protection hidden="1"/>
    </xf>
    <xf numFmtId="0" fontId="17" fillId="13" borderId="66" xfId="0" applyFont="1" applyFill="1" applyBorder="1" applyProtection="1">
      <protection hidden="1"/>
    </xf>
    <xf numFmtId="0" fontId="16" fillId="13" borderId="9" xfId="0" applyFont="1" applyFill="1" applyBorder="1" applyProtection="1">
      <protection hidden="1"/>
    </xf>
    <xf numFmtId="0" fontId="17" fillId="23" borderId="3" xfId="0" applyFont="1" applyFill="1" applyBorder="1" applyProtection="1">
      <protection hidden="1"/>
    </xf>
    <xf numFmtId="0" fontId="16" fillId="23" borderId="9" xfId="0" applyFont="1" applyFill="1" applyBorder="1" applyProtection="1">
      <protection hidden="1"/>
    </xf>
    <xf numFmtId="0" fontId="17" fillId="11" borderId="3" xfId="0" applyFont="1" applyFill="1" applyBorder="1" applyProtection="1">
      <protection hidden="1"/>
    </xf>
    <xf numFmtId="0" fontId="16" fillId="11" borderId="9" xfId="0" applyFont="1" applyFill="1" applyBorder="1" applyProtection="1">
      <protection hidden="1"/>
    </xf>
    <xf numFmtId="0" fontId="16" fillId="17" borderId="15" xfId="0" applyFont="1" applyFill="1" applyBorder="1" applyProtection="1">
      <protection hidden="1"/>
    </xf>
    <xf numFmtId="0" fontId="16" fillId="13" borderId="15" xfId="0" applyFont="1" applyFill="1" applyBorder="1" applyProtection="1">
      <protection hidden="1"/>
    </xf>
    <xf numFmtId="0" fontId="16" fillId="12" borderId="2" xfId="0" applyFont="1" applyFill="1" applyBorder="1" applyProtection="1">
      <protection hidden="1"/>
    </xf>
    <xf numFmtId="3" fontId="17" fillId="28" borderId="24" xfId="5" applyNumberFormat="1" applyFont="1" applyFill="1" applyBorder="1" applyProtection="1">
      <protection hidden="1"/>
    </xf>
    <xf numFmtId="0" fontId="11" fillId="18" borderId="67" xfId="0" applyFont="1" applyFill="1" applyBorder="1" applyProtection="1">
      <protection hidden="1"/>
    </xf>
    <xf numFmtId="2" fontId="11" fillId="18" borderId="41" xfId="0" applyNumberFormat="1" applyFont="1" applyFill="1" applyBorder="1" applyProtection="1">
      <protection hidden="1"/>
    </xf>
    <xf numFmtId="2" fontId="11" fillId="18" borderId="65" xfId="0" applyNumberFormat="1" applyFont="1" applyFill="1" applyBorder="1" applyProtection="1">
      <protection hidden="1"/>
    </xf>
    <xf numFmtId="0" fontId="11" fillId="18" borderId="68" xfId="0" applyFont="1" applyFill="1" applyBorder="1" applyProtection="1">
      <protection hidden="1"/>
    </xf>
    <xf numFmtId="2" fontId="11" fillId="18" borderId="70" xfId="0" applyNumberFormat="1" applyFont="1" applyFill="1" applyBorder="1" applyProtection="1">
      <protection hidden="1"/>
    </xf>
    <xf numFmtId="2" fontId="11" fillId="18" borderId="25" xfId="0" applyNumberFormat="1" applyFont="1" applyFill="1" applyBorder="1" applyProtection="1">
      <protection hidden="1"/>
    </xf>
    <xf numFmtId="0" fontId="11" fillId="18" borderId="71" xfId="0" applyFont="1" applyFill="1" applyBorder="1" applyProtection="1">
      <protection hidden="1"/>
    </xf>
    <xf numFmtId="2" fontId="11" fillId="18" borderId="34" xfId="0" applyNumberFormat="1" applyFont="1" applyFill="1" applyBorder="1" applyProtection="1">
      <protection hidden="1"/>
    </xf>
    <xf numFmtId="2" fontId="11" fillId="18" borderId="39" xfId="0" applyNumberFormat="1" applyFont="1" applyFill="1" applyBorder="1" applyProtection="1">
      <protection hidden="1"/>
    </xf>
    <xf numFmtId="2" fontId="11" fillId="18" borderId="33" xfId="0" applyNumberFormat="1" applyFont="1" applyFill="1" applyBorder="1" applyProtection="1">
      <protection hidden="1"/>
    </xf>
    <xf numFmtId="2" fontId="11" fillId="18" borderId="72" xfId="0" applyNumberFormat="1" applyFont="1" applyFill="1" applyBorder="1" applyProtection="1">
      <protection hidden="1"/>
    </xf>
    <xf numFmtId="0" fontId="11" fillId="0" borderId="2" xfId="0" applyFont="1" applyBorder="1" applyProtection="1">
      <protection hidden="1"/>
    </xf>
    <xf numFmtId="2" fontId="11" fillId="0" borderId="35" xfId="0" applyNumberFormat="1" applyFont="1" applyBorder="1" applyProtection="1">
      <protection hidden="1"/>
    </xf>
    <xf numFmtId="2" fontId="11" fillId="8" borderId="35" xfId="0" applyNumberFormat="1" applyFont="1" applyFill="1" applyBorder="1" applyProtection="1">
      <protection hidden="1"/>
    </xf>
    <xf numFmtId="2" fontId="11" fillId="8" borderId="48" xfId="0" applyNumberFormat="1" applyFont="1" applyFill="1" applyBorder="1" applyProtection="1">
      <protection hidden="1"/>
    </xf>
    <xf numFmtId="0" fontId="11" fillId="19" borderId="67" xfId="0" applyFont="1" applyFill="1" applyBorder="1" applyProtection="1">
      <protection hidden="1"/>
    </xf>
    <xf numFmtId="2" fontId="11" fillId="19" borderId="0" xfId="0" applyNumberFormat="1" applyFont="1" applyFill="1" applyProtection="1">
      <protection hidden="1"/>
    </xf>
    <xf numFmtId="2" fontId="11" fillId="19" borderId="25" xfId="0" applyNumberFormat="1" applyFont="1" applyFill="1" applyBorder="1" applyProtection="1">
      <protection hidden="1"/>
    </xf>
    <xf numFmtId="0" fontId="11" fillId="19" borderId="71" xfId="0" applyFont="1" applyFill="1" applyBorder="1" applyProtection="1">
      <protection hidden="1"/>
    </xf>
    <xf numFmtId="0" fontId="11" fillId="19" borderId="68" xfId="0" applyFont="1" applyFill="1" applyBorder="1" applyProtection="1">
      <protection hidden="1"/>
    </xf>
    <xf numFmtId="2" fontId="11" fillId="19" borderId="31" xfId="0" applyNumberFormat="1" applyFont="1" applyFill="1" applyBorder="1" applyProtection="1">
      <protection hidden="1"/>
    </xf>
    <xf numFmtId="2" fontId="11" fillId="19" borderId="38" xfId="0" applyNumberFormat="1" applyFont="1" applyFill="1" applyBorder="1" applyProtection="1">
      <protection hidden="1"/>
    </xf>
    <xf numFmtId="2" fontId="11" fillId="19" borderId="30" xfId="0" applyNumberFormat="1" applyFont="1" applyFill="1" applyBorder="1" applyProtection="1">
      <protection hidden="1"/>
    </xf>
    <xf numFmtId="2" fontId="11" fillId="19" borderId="70" xfId="0" applyNumberFormat="1" applyFont="1" applyFill="1" applyBorder="1" applyProtection="1">
      <protection hidden="1"/>
    </xf>
    <xf numFmtId="0" fontId="11" fillId="20" borderId="71" xfId="0" applyFont="1" applyFill="1" applyBorder="1" applyProtection="1">
      <protection hidden="1"/>
    </xf>
    <xf numFmtId="10" fontId="11" fillId="20" borderId="0" xfId="0" applyNumberFormat="1" applyFont="1" applyFill="1" applyProtection="1">
      <protection hidden="1"/>
    </xf>
    <xf numFmtId="10" fontId="11" fillId="20" borderId="25" xfId="0" applyNumberFormat="1" applyFont="1" applyFill="1" applyBorder="1" applyProtection="1">
      <protection hidden="1"/>
    </xf>
    <xf numFmtId="0" fontId="11" fillId="20" borderId="66" xfId="0" applyFont="1" applyFill="1" applyBorder="1" applyProtection="1">
      <protection hidden="1"/>
    </xf>
    <xf numFmtId="0" fontId="11" fillId="20" borderId="67" xfId="0" applyFont="1" applyFill="1" applyBorder="1" applyProtection="1">
      <protection hidden="1"/>
    </xf>
    <xf numFmtId="0" fontId="11" fillId="20" borderId="68" xfId="0" applyFont="1" applyFill="1" applyBorder="1" applyProtection="1">
      <protection hidden="1"/>
    </xf>
    <xf numFmtId="169" fontId="11" fillId="20" borderId="31" xfId="0" applyNumberFormat="1" applyFont="1" applyFill="1" applyBorder="1" applyProtection="1">
      <protection hidden="1"/>
    </xf>
    <xf numFmtId="169" fontId="11" fillId="20" borderId="38" xfId="0" applyNumberFormat="1" applyFont="1" applyFill="1" applyBorder="1" applyProtection="1">
      <protection hidden="1"/>
    </xf>
    <xf numFmtId="169" fontId="11" fillId="20" borderId="30" xfId="0" applyNumberFormat="1" applyFont="1" applyFill="1" applyBorder="1" applyProtection="1">
      <protection hidden="1"/>
    </xf>
    <xf numFmtId="169" fontId="11" fillId="20" borderId="70" xfId="0" applyNumberFormat="1" applyFont="1" applyFill="1" applyBorder="1" applyProtection="1">
      <protection hidden="1"/>
    </xf>
    <xf numFmtId="0" fontId="11" fillId="11" borderId="64" xfId="0" applyFont="1" applyFill="1" applyBorder="1" applyProtection="1">
      <protection hidden="1"/>
    </xf>
    <xf numFmtId="2" fontId="11" fillId="11" borderId="41" xfId="0" applyNumberFormat="1" applyFont="1" applyFill="1" applyBorder="1" applyProtection="1">
      <protection hidden="1"/>
    </xf>
    <xf numFmtId="2" fontId="11" fillId="11" borderId="65" xfId="0" applyNumberFormat="1" applyFont="1" applyFill="1" applyBorder="1" applyProtection="1">
      <protection hidden="1"/>
    </xf>
    <xf numFmtId="0" fontId="11" fillId="11" borderId="66" xfId="0" applyFont="1" applyFill="1" applyBorder="1" applyProtection="1">
      <protection hidden="1"/>
    </xf>
    <xf numFmtId="2" fontId="11" fillId="11" borderId="0" xfId="0" applyNumberFormat="1" applyFont="1" applyFill="1" applyProtection="1">
      <protection hidden="1"/>
    </xf>
    <xf numFmtId="2" fontId="11" fillId="11" borderId="25" xfId="0" applyNumberFormat="1" applyFont="1" applyFill="1" applyBorder="1" applyProtection="1">
      <protection hidden="1"/>
    </xf>
    <xf numFmtId="0" fontId="30" fillId="0" borderId="2" xfId="0" applyFont="1" applyBorder="1"/>
    <xf numFmtId="0" fontId="30" fillId="0" borderId="35" xfId="0" applyFont="1" applyBorder="1"/>
    <xf numFmtId="0" fontId="30" fillId="0" borderId="48" xfId="0" applyFont="1" applyBorder="1"/>
    <xf numFmtId="0" fontId="11" fillId="22" borderId="66" xfId="0" applyFont="1" applyFill="1" applyBorder="1" applyProtection="1">
      <protection hidden="1"/>
    </xf>
    <xf numFmtId="2" fontId="11" fillId="22" borderId="0" xfId="0" applyNumberFormat="1" applyFont="1" applyFill="1" applyProtection="1">
      <protection hidden="1"/>
    </xf>
    <xf numFmtId="2" fontId="11" fillId="22" borderId="25" xfId="0" applyNumberFormat="1" applyFont="1" applyFill="1" applyBorder="1" applyProtection="1">
      <protection hidden="1"/>
    </xf>
    <xf numFmtId="0" fontId="11" fillId="22" borderId="3" xfId="0" applyFont="1" applyFill="1" applyBorder="1" applyProtection="1">
      <protection hidden="1"/>
    </xf>
    <xf numFmtId="3" fontId="11" fillId="22" borderId="40" xfId="0" applyNumberFormat="1" applyFont="1" applyFill="1" applyBorder="1" applyProtection="1">
      <protection hidden="1"/>
    </xf>
    <xf numFmtId="166" fontId="45" fillId="7" borderId="5" xfId="0" applyNumberFormat="1" applyFont="1" applyFill="1" applyBorder="1" applyProtection="1">
      <protection locked="0"/>
    </xf>
    <xf numFmtId="167" fontId="11" fillId="4" borderId="11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167" fontId="14" fillId="8" borderId="1" xfId="5" applyNumberFormat="1" applyFont="1" applyFill="1" applyBorder="1" applyAlignment="1" applyProtection="1">
      <alignment horizontal="right" vertical="center"/>
      <protection locked="0"/>
    </xf>
    <xf numFmtId="3" fontId="11" fillId="8" borderId="44" xfId="5" applyNumberFormat="1" applyFont="1" applyFill="1" applyBorder="1" applyAlignment="1" applyProtection="1">
      <alignment horizontal="right" vertical="center"/>
      <protection hidden="1"/>
    </xf>
    <xf numFmtId="3" fontId="14" fillId="21" borderId="14" xfId="5" applyNumberFormat="1" applyFont="1" applyFill="1" applyBorder="1" applyAlignment="1" applyProtection="1">
      <alignment horizontal="right" vertical="center"/>
      <protection hidden="1"/>
    </xf>
    <xf numFmtId="0" fontId="16" fillId="8" borderId="2" xfId="0" applyFont="1" applyFill="1" applyBorder="1" applyAlignment="1" applyProtection="1">
      <alignment horizontal="left" vertical="center"/>
      <protection hidden="1"/>
    </xf>
    <xf numFmtId="0" fontId="42" fillId="6" borderId="1" xfId="3" applyFont="1" applyFill="1" applyBorder="1" applyAlignment="1" applyProtection="1">
      <alignment horizontal="center" wrapText="1"/>
      <protection hidden="1"/>
    </xf>
    <xf numFmtId="0" fontId="8" fillId="6" borderId="4" xfId="3" applyFont="1" applyFill="1" applyBorder="1" applyProtection="1">
      <protection hidden="1"/>
    </xf>
    <xf numFmtId="1" fontId="2" fillId="6" borderId="4" xfId="3" applyNumberFormat="1" applyFill="1" applyBorder="1" applyAlignment="1" applyProtection="1">
      <alignment horizontal="center" wrapText="1"/>
      <protection hidden="1"/>
    </xf>
    <xf numFmtId="1" fontId="2" fillId="6" borderId="4" xfId="3" applyNumberFormat="1" applyFill="1" applyBorder="1" applyAlignment="1" applyProtection="1">
      <alignment horizontal="center"/>
      <protection hidden="1"/>
    </xf>
    <xf numFmtId="166" fontId="11" fillId="7" borderId="1" xfId="0" applyNumberFormat="1" applyFont="1" applyFill="1" applyBorder="1" applyProtection="1">
      <protection hidden="1"/>
    </xf>
    <xf numFmtId="0" fontId="2" fillId="6" borderId="1" xfId="3" applyFill="1" applyBorder="1" applyProtection="1">
      <protection hidden="1"/>
    </xf>
    <xf numFmtId="4" fontId="2" fillId="6" borderId="1" xfId="3" applyNumberFormat="1" applyFill="1" applyBorder="1" applyProtection="1">
      <protection hidden="1"/>
    </xf>
    <xf numFmtId="3" fontId="2" fillId="6" borderId="1" xfId="3" applyNumberFormat="1" applyFill="1" applyBorder="1" applyProtection="1">
      <protection hidden="1"/>
    </xf>
    <xf numFmtId="166" fontId="10" fillId="25" borderId="1" xfId="0" applyNumberFormat="1" applyFont="1" applyFill="1" applyBorder="1" applyProtection="1">
      <protection hidden="1"/>
    </xf>
    <xf numFmtId="169" fontId="10" fillId="25" borderId="1" xfId="0" applyNumberFormat="1" applyFont="1" applyFill="1" applyBorder="1" applyProtection="1">
      <protection hidden="1"/>
    </xf>
    <xf numFmtId="3" fontId="39" fillId="25" borderId="1" xfId="0" applyNumberFormat="1" applyFont="1" applyFill="1" applyBorder="1" applyProtection="1">
      <protection hidden="1"/>
    </xf>
    <xf numFmtId="9" fontId="10" fillId="25" borderId="1" xfId="0" applyNumberFormat="1" applyFont="1" applyFill="1" applyBorder="1" applyProtection="1">
      <protection hidden="1"/>
    </xf>
    <xf numFmtId="166" fontId="10" fillId="8" borderId="0" xfId="0" applyNumberFormat="1" applyFont="1" applyFill="1" applyProtection="1">
      <protection hidden="1"/>
    </xf>
    <xf numFmtId="169" fontId="10" fillId="8" borderId="0" xfId="0" applyNumberFormat="1" applyFont="1" applyFill="1" applyProtection="1">
      <protection hidden="1"/>
    </xf>
    <xf numFmtId="3" fontId="39" fillId="8" borderId="0" xfId="0" applyNumberFormat="1" applyFont="1" applyFill="1" applyProtection="1">
      <protection hidden="1"/>
    </xf>
    <xf numFmtId="1" fontId="2" fillId="6" borderId="1" xfId="3" applyNumberFormat="1" applyFill="1" applyBorder="1" applyProtection="1">
      <protection hidden="1"/>
    </xf>
    <xf numFmtId="0" fontId="2" fillId="6" borderId="2" xfId="3" applyFill="1" applyBorder="1" applyProtection="1">
      <protection hidden="1"/>
    </xf>
    <xf numFmtId="0" fontId="2" fillId="6" borderId="35" xfId="3" applyFill="1" applyBorder="1" applyProtection="1">
      <protection hidden="1"/>
    </xf>
    <xf numFmtId="3" fontId="2" fillId="6" borderId="48" xfId="3" applyNumberFormat="1" applyFill="1" applyBorder="1" applyProtection="1">
      <protection hidden="1"/>
    </xf>
    <xf numFmtId="3" fontId="39" fillId="25" borderId="5" xfId="0" applyNumberFormat="1" applyFont="1" applyFill="1" applyBorder="1" applyProtection="1">
      <protection hidden="1"/>
    </xf>
    <xf numFmtId="3" fontId="36" fillId="6" borderId="48" xfId="3" applyNumberFormat="1" applyFont="1" applyFill="1" applyBorder="1" applyProtection="1">
      <protection hidden="1"/>
    </xf>
    <xf numFmtId="3" fontId="36" fillId="6" borderId="1" xfId="3" applyNumberFormat="1" applyFont="1" applyFill="1" applyBorder="1" applyProtection="1">
      <protection hidden="1"/>
    </xf>
    <xf numFmtId="0" fontId="11" fillId="16" borderId="2" xfId="3" applyFont="1" applyFill="1" applyBorder="1" applyProtection="1">
      <protection hidden="1"/>
    </xf>
    <xf numFmtId="0" fontId="11" fillId="16" borderId="35" xfId="3" applyFont="1" applyFill="1" applyBorder="1" applyProtection="1">
      <protection hidden="1"/>
    </xf>
    <xf numFmtId="3" fontId="11" fillId="16" borderId="48" xfId="3" applyNumberFormat="1" applyFont="1" applyFill="1" applyBorder="1" applyProtection="1">
      <protection hidden="1"/>
    </xf>
    <xf numFmtId="3" fontId="1" fillId="16" borderId="1" xfId="0" applyNumberFormat="1" applyFont="1" applyFill="1" applyBorder="1" applyProtection="1">
      <protection hidden="1"/>
    </xf>
    <xf numFmtId="0" fontId="11" fillId="16" borderId="1" xfId="0" applyFont="1" applyFill="1" applyBorder="1" applyProtection="1">
      <protection hidden="1"/>
    </xf>
    <xf numFmtId="166" fontId="11" fillId="8" borderId="0" xfId="0" applyNumberFormat="1" applyFont="1" applyFill="1" applyProtection="1">
      <protection hidden="1"/>
    </xf>
    <xf numFmtId="10" fontId="1" fillId="8" borderId="0" xfId="1" applyNumberFormat="1" applyFont="1" applyFill="1" applyBorder="1" applyProtection="1">
      <protection hidden="1"/>
    </xf>
    <xf numFmtId="0" fontId="2" fillId="8" borderId="0" xfId="3" applyFill="1" applyBorder="1" applyProtection="1">
      <protection hidden="1"/>
    </xf>
    <xf numFmtId="4" fontId="2" fillId="8" borderId="0" xfId="3" applyNumberFormat="1" applyFill="1" applyBorder="1" applyProtection="1">
      <protection hidden="1"/>
    </xf>
    <xf numFmtId="4" fontId="1" fillId="8" borderId="0" xfId="0" applyNumberFormat="1" applyFont="1" applyFill="1" applyProtection="1">
      <protection hidden="1"/>
    </xf>
    <xf numFmtId="0" fontId="1" fillId="8" borderId="0" xfId="0" applyFont="1" applyFill="1" applyProtection="1">
      <protection hidden="1"/>
    </xf>
    <xf numFmtId="1" fontId="2" fillId="8" borderId="0" xfId="3" applyNumberFormat="1" applyFill="1" applyBorder="1" applyProtection="1">
      <protection hidden="1"/>
    </xf>
    <xf numFmtId="2" fontId="1" fillId="8" borderId="0" xfId="0" applyNumberFormat="1" applyFont="1" applyFill="1" applyProtection="1">
      <protection hidden="1"/>
    </xf>
    <xf numFmtId="0" fontId="2" fillId="8" borderId="0" xfId="2" applyFill="1" applyBorder="1" applyProtection="1">
      <protection hidden="1"/>
    </xf>
    <xf numFmtId="4" fontId="2" fillId="8" borderId="0" xfId="2" applyNumberFormat="1" applyFill="1" applyBorder="1" applyProtection="1">
      <protection hidden="1"/>
    </xf>
    <xf numFmtId="0" fontId="12" fillId="8" borderId="0" xfId="0" applyFont="1" applyFill="1" applyProtection="1">
      <protection hidden="1"/>
    </xf>
    <xf numFmtId="4" fontId="12" fillId="8" borderId="0" xfId="0" applyNumberFormat="1" applyFont="1" applyFill="1" applyProtection="1">
      <protection hidden="1"/>
    </xf>
    <xf numFmtId="4" fontId="37" fillId="8" borderId="0" xfId="0" applyNumberFormat="1" applyFont="1" applyFill="1" applyProtection="1">
      <protection hidden="1"/>
    </xf>
    <xf numFmtId="165" fontId="1" fillId="8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3" fontId="11" fillId="8" borderId="1" xfId="0" applyNumberFormat="1" applyFont="1" applyFill="1" applyBorder="1" applyProtection="1">
      <protection locked="0"/>
    </xf>
    <xf numFmtId="3" fontId="47" fillId="0" borderId="0" xfId="0" applyNumberFormat="1" applyFont="1" applyProtection="1">
      <protection hidden="1"/>
    </xf>
    <xf numFmtId="0" fontId="17" fillId="8" borderId="36" xfId="0" applyFont="1" applyFill="1" applyBorder="1" applyAlignment="1" applyProtection="1">
      <alignment horizontal="right" vertical="center"/>
      <protection hidden="1"/>
    </xf>
    <xf numFmtId="3" fontId="11" fillId="8" borderId="36" xfId="5" applyNumberFormat="1" applyFont="1" applyFill="1" applyBorder="1" applyAlignment="1" applyProtection="1">
      <alignment horizontal="right" vertical="center"/>
      <protection hidden="1"/>
    </xf>
    <xf numFmtId="1" fontId="2" fillId="29" borderId="41" xfId="3" applyNumberFormat="1" applyFill="1" applyBorder="1" applyAlignment="1" applyProtection="1">
      <alignment horizontal="center"/>
      <protection hidden="1"/>
    </xf>
    <xf numFmtId="1" fontId="2" fillId="29" borderId="65" xfId="3" applyNumberFormat="1" applyFill="1" applyBorder="1" applyAlignment="1" applyProtection="1">
      <alignment horizontal="center"/>
      <protection hidden="1"/>
    </xf>
    <xf numFmtId="3" fontId="40" fillId="5" borderId="1" xfId="0" applyNumberFormat="1" applyFont="1" applyFill="1" applyBorder="1" applyProtection="1">
      <protection hidden="1"/>
    </xf>
    <xf numFmtId="3" fontId="1" fillId="0" borderId="1" xfId="0" applyNumberFormat="1" applyFont="1" applyBorder="1" applyProtection="1">
      <protection hidden="1"/>
    </xf>
    <xf numFmtId="9" fontId="30" fillId="16" borderId="1" xfId="1" applyFont="1" applyFill="1" applyBorder="1" applyProtection="1">
      <protection hidden="1"/>
    </xf>
    <xf numFmtId="0" fontId="10" fillId="8" borderId="0" xfId="3" applyFont="1" applyFill="1" applyBorder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44" fillId="0" borderId="0" xfId="0" applyFont="1" applyProtection="1">
      <protection hidden="1"/>
    </xf>
    <xf numFmtId="3" fontId="21" fillId="8" borderId="1" xfId="0" applyNumberFormat="1" applyFont="1" applyFill="1" applyBorder="1" applyAlignment="1" applyProtection="1">
      <alignment wrapText="1"/>
      <protection locked="0"/>
    </xf>
    <xf numFmtId="0" fontId="46" fillId="0" borderId="0" xfId="0" applyFont="1" applyProtection="1">
      <protection hidden="1"/>
    </xf>
    <xf numFmtId="0" fontId="5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3" borderId="1" xfId="3" applyBorder="1" applyAlignment="1" applyProtection="1">
      <alignment horizontal="center"/>
      <protection hidden="1"/>
    </xf>
    <xf numFmtId="1" fontId="2" fillId="3" borderId="1" xfId="3" applyNumberFormat="1" applyBorder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left"/>
      <protection hidden="1"/>
    </xf>
    <xf numFmtId="0" fontId="0" fillId="8" borderId="0" xfId="0" applyFill="1" applyAlignment="1" applyProtection="1">
      <alignment horizontal="left"/>
      <protection hidden="1"/>
    </xf>
    <xf numFmtId="0" fontId="38" fillId="35" borderId="1" xfId="3" applyFont="1" applyFill="1" applyBorder="1" applyAlignment="1" applyProtection="1">
      <alignment horizontal="left"/>
      <protection hidden="1"/>
    </xf>
    <xf numFmtId="3" fontId="38" fillId="35" borderId="1" xfId="0" applyNumberFormat="1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11" fillId="5" borderId="1" xfId="0" applyFont="1" applyFill="1" applyBorder="1" applyAlignment="1" applyProtection="1">
      <alignment horizontal="left"/>
      <protection hidden="1"/>
    </xf>
    <xf numFmtId="0" fontId="43" fillId="0" borderId="1" xfId="0" applyFont="1" applyBorder="1" applyAlignment="1" applyProtection="1">
      <alignment horizontal="left"/>
      <protection hidden="1"/>
    </xf>
    <xf numFmtId="10" fontId="9" fillId="16" borderId="1" xfId="1" applyNumberFormat="1" applyFont="1" applyFill="1" applyBorder="1" applyAlignment="1" applyProtection="1">
      <alignment horizontal="right"/>
      <protection hidden="1"/>
    </xf>
    <xf numFmtId="0" fontId="9" fillId="16" borderId="1" xfId="0" applyFont="1" applyFill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8" borderId="0" xfId="0" applyFont="1" applyFill="1" applyAlignment="1" applyProtection="1">
      <alignment horizontal="left"/>
      <protection hidden="1"/>
    </xf>
    <xf numFmtId="4" fontId="0" fillId="8" borderId="0" xfId="0" applyNumberFormat="1" applyFill="1" applyAlignment="1" applyProtection="1">
      <alignment horizontal="left"/>
      <protection hidden="1"/>
    </xf>
    <xf numFmtId="4" fontId="2" fillId="8" borderId="0" xfId="2" applyNumberFormat="1" applyFill="1" applyBorder="1" applyAlignment="1" applyProtection="1">
      <alignment horizontal="left"/>
      <protection hidden="1"/>
    </xf>
    <xf numFmtId="3" fontId="0" fillId="8" borderId="0" xfId="0" applyNumberFormat="1" applyFill="1" applyAlignment="1" applyProtection="1">
      <alignment horizontal="left"/>
      <protection hidden="1"/>
    </xf>
    <xf numFmtId="0" fontId="9" fillId="16" borderId="1" xfId="0" applyFont="1" applyFill="1" applyBorder="1" applyAlignment="1" applyProtection="1">
      <alignment horizontal="left"/>
      <protection hidden="1"/>
    </xf>
    <xf numFmtId="3" fontId="49" fillId="8" borderId="0" xfId="0" applyNumberFormat="1" applyFont="1" applyFill="1" applyProtection="1">
      <protection hidden="1"/>
    </xf>
    <xf numFmtId="3" fontId="44" fillId="8" borderId="0" xfId="0" applyNumberFormat="1" applyFont="1" applyFill="1" applyProtection="1">
      <protection hidden="1"/>
    </xf>
    <xf numFmtId="166" fontId="10" fillId="25" borderId="0" xfId="0" applyNumberFormat="1" applyFont="1" applyFill="1" applyProtection="1">
      <protection hidden="1"/>
    </xf>
    <xf numFmtId="9" fontId="10" fillId="25" borderId="0" xfId="0" applyNumberFormat="1" applyFont="1" applyFill="1" applyProtection="1">
      <protection hidden="1"/>
    </xf>
    <xf numFmtId="0" fontId="0" fillId="0" borderId="41" xfId="0" applyBorder="1" applyProtection="1">
      <protection hidden="1"/>
    </xf>
    <xf numFmtId="4" fontId="35" fillId="8" borderId="1" xfId="0" applyNumberFormat="1" applyFont="1" applyFill="1" applyBorder="1" applyProtection="1">
      <protection locked="0"/>
    </xf>
    <xf numFmtId="0" fontId="18" fillId="14" borderId="25" xfId="0" applyFont="1" applyFill="1" applyBorder="1" applyAlignment="1" applyProtection="1">
      <alignment vertical="center" wrapText="1"/>
      <protection hidden="1"/>
    </xf>
    <xf numFmtId="164" fontId="17" fillId="8" borderId="25" xfId="5" applyFont="1" applyFill="1" applyBorder="1" applyAlignment="1" applyProtection="1">
      <alignment horizontal="right" vertical="center"/>
      <protection hidden="1"/>
    </xf>
    <xf numFmtId="0" fontId="17" fillId="8" borderId="11" xfId="0" applyFont="1" applyFill="1" applyBorder="1" applyAlignment="1" applyProtection="1">
      <alignment horizontal="left" vertical="center" wrapText="1"/>
      <protection hidden="1"/>
    </xf>
    <xf numFmtId="0" fontId="14" fillId="9" borderId="8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9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77" xfId="5" applyNumberFormat="1" applyFont="1" applyFill="1" applyBorder="1" applyAlignment="1" applyProtection="1">
      <alignment horizontal="center" vertical="center" wrapText="1"/>
      <protection hidden="1"/>
    </xf>
    <xf numFmtId="0" fontId="49" fillId="8" borderId="0" xfId="0" applyFont="1" applyFill="1" applyAlignment="1" applyProtection="1">
      <alignment horizontal="left"/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/>
    </xf>
    <xf numFmtId="4" fontId="49" fillId="8" borderId="0" xfId="2" applyNumberFormat="1" applyFont="1" applyFill="1" applyBorder="1" applyAlignment="1" applyProtection="1">
      <alignment horizontal="left" vertical="center"/>
      <protection hidden="1"/>
    </xf>
    <xf numFmtId="0" fontId="0" fillId="36" borderId="2" xfId="0" applyFill="1" applyBorder="1" applyAlignment="1" applyProtection="1">
      <alignment wrapText="1"/>
      <protection hidden="1"/>
    </xf>
    <xf numFmtId="0" fontId="0" fillId="36" borderId="35" xfId="0" applyFill="1" applyBorder="1" applyAlignment="1" applyProtection="1">
      <alignment wrapText="1"/>
      <protection hidden="1"/>
    </xf>
    <xf numFmtId="0" fontId="0" fillId="36" borderId="48" xfId="0" applyFill="1" applyBorder="1" applyAlignment="1" applyProtection="1">
      <alignment wrapText="1"/>
      <protection hidden="1"/>
    </xf>
    <xf numFmtId="3" fontId="16" fillId="4" borderId="43" xfId="0" applyNumberFormat="1" applyFont="1" applyFill="1" applyBorder="1" applyAlignment="1" applyProtection="1">
      <alignment horizontal="right" vertical="center" wrapText="1"/>
      <protection hidden="1"/>
    </xf>
    <xf numFmtId="3" fontId="16" fillId="4" borderId="1" xfId="0" applyNumberFormat="1" applyFont="1" applyFill="1" applyBorder="1" applyAlignment="1" applyProtection="1">
      <alignment horizontal="left" vertical="center" wrapText="1"/>
      <protection hidden="1"/>
    </xf>
    <xf numFmtId="167" fontId="11" fillId="8" borderId="78" xfId="5" applyNumberFormat="1" applyFont="1" applyFill="1" applyBorder="1" applyAlignment="1" applyProtection="1">
      <alignment horizontal="right" vertical="center"/>
      <protection hidden="1"/>
    </xf>
    <xf numFmtId="164" fontId="16" fillId="9" borderId="1" xfId="5" applyFont="1" applyFill="1" applyBorder="1" applyAlignment="1" applyProtection="1">
      <alignment vertical="center" wrapText="1"/>
      <protection hidden="1"/>
    </xf>
    <xf numFmtId="167" fontId="14" fillId="8" borderId="11" xfId="5" applyNumberFormat="1" applyFont="1" applyFill="1" applyBorder="1" applyAlignment="1" applyProtection="1">
      <alignment horizontal="right" vertical="center"/>
      <protection locked="0"/>
    </xf>
    <xf numFmtId="164" fontId="14" fillId="9" borderId="12" xfId="5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4" borderId="65" xfId="0" applyFill="1" applyBorder="1" applyProtection="1">
      <protection hidden="1"/>
    </xf>
    <xf numFmtId="0" fontId="11" fillId="4" borderId="66" xfId="6" applyFont="1" applyFill="1" applyBorder="1" applyProtection="1">
      <protection hidden="1"/>
    </xf>
    <xf numFmtId="164" fontId="14" fillId="4" borderId="66" xfId="5" applyFont="1" applyFill="1" applyBorder="1" applyAlignment="1" applyProtection="1">
      <alignment vertical="center" wrapText="1"/>
      <protection hidden="1"/>
    </xf>
    <xf numFmtId="164" fontId="11" fillId="4" borderId="25" xfId="5" applyFont="1" applyFill="1" applyBorder="1" applyAlignment="1" applyProtection="1">
      <alignment horizontal="center" vertical="center"/>
      <protection hidden="1"/>
    </xf>
    <xf numFmtId="164" fontId="17" fillId="8" borderId="11" xfId="5" applyFont="1" applyFill="1" applyBorder="1" applyAlignment="1" applyProtection="1">
      <alignment vertical="center" wrapText="1"/>
      <protection hidden="1"/>
    </xf>
    <xf numFmtId="0" fontId="0" fillId="0" borderId="25" xfId="0" applyBorder="1" applyProtection="1">
      <protection hidden="1"/>
    </xf>
    <xf numFmtId="164" fontId="16" fillId="5" borderId="1" xfId="5" applyFont="1" applyFill="1" applyBorder="1" applyAlignment="1" applyProtection="1">
      <alignment vertical="center" wrapText="1"/>
      <protection hidden="1"/>
    </xf>
    <xf numFmtId="164" fontId="17" fillId="10" borderId="11" xfId="5" applyFont="1" applyFill="1" applyBorder="1" applyAlignment="1" applyProtection="1">
      <alignment vertical="center" wrapText="1"/>
      <protection hidden="1"/>
    </xf>
    <xf numFmtId="164" fontId="17" fillId="8" borderId="76" xfId="5" applyFont="1" applyFill="1" applyBorder="1" applyAlignment="1" applyProtection="1">
      <alignment vertical="center" wrapText="1"/>
      <protection hidden="1"/>
    </xf>
    <xf numFmtId="164" fontId="16" fillId="9" borderId="11" xfId="5" applyFont="1" applyFill="1" applyBorder="1" applyAlignment="1" applyProtection="1">
      <alignment vertical="center" wrapText="1"/>
      <protection hidden="1"/>
    </xf>
    <xf numFmtId="164" fontId="52" fillId="9" borderId="1" xfId="5" applyFont="1" applyFill="1" applyBorder="1" applyAlignment="1" applyProtection="1">
      <alignment vertical="center" wrapText="1"/>
      <protection hidden="1"/>
    </xf>
    <xf numFmtId="0" fontId="17" fillId="8" borderId="12" xfId="0" applyFont="1" applyFill="1" applyBorder="1" applyAlignment="1" applyProtection="1">
      <alignment horizontal="left" vertical="center" wrapText="1"/>
      <protection hidden="1"/>
    </xf>
    <xf numFmtId="0" fontId="18" fillId="14" borderId="66" xfId="0" applyFont="1" applyFill="1" applyBorder="1" applyAlignment="1" applyProtection="1">
      <alignment vertical="center" wrapText="1"/>
      <protection hidden="1"/>
    </xf>
    <xf numFmtId="0" fontId="14" fillId="9" borderId="8" xfId="0" applyFont="1" applyFill="1" applyBorder="1" applyAlignment="1" applyProtection="1">
      <alignment horizontal="center" vertical="center" wrapText="1"/>
      <protection hidden="1"/>
    </xf>
    <xf numFmtId="49" fontId="17" fillId="8" borderId="12" xfId="0" applyNumberFormat="1" applyFont="1" applyFill="1" applyBorder="1" applyAlignment="1" applyProtection="1">
      <alignment horizontal="left" vertical="center" wrapText="1"/>
      <protection hidden="1"/>
    </xf>
    <xf numFmtId="0" fontId="16" fillId="8" borderId="1" xfId="0" applyFont="1" applyFill="1" applyBorder="1" applyAlignment="1" applyProtection="1">
      <alignment horizontal="left" vertical="center" wrapText="1"/>
      <protection hidden="1"/>
    </xf>
    <xf numFmtId="49" fontId="17" fillId="8" borderId="11" xfId="0" applyNumberFormat="1" applyFont="1" applyFill="1" applyBorder="1" applyAlignment="1" applyProtection="1">
      <alignment horizontal="left" vertical="center" wrapText="1"/>
      <protection hidden="1"/>
    </xf>
    <xf numFmtId="0" fontId="16" fillId="8" borderId="14" xfId="0" applyFont="1" applyFill="1" applyBorder="1" applyAlignment="1" applyProtection="1">
      <alignment horizontal="left" vertical="center" wrapText="1"/>
      <protection hidden="1"/>
    </xf>
    <xf numFmtId="0" fontId="35" fillId="26" borderId="43" xfId="0" applyFont="1" applyFill="1" applyBorder="1" applyAlignment="1" applyProtection="1">
      <alignment horizontal="left" vertical="center" wrapText="1"/>
      <protection hidden="1"/>
    </xf>
    <xf numFmtId="0" fontId="17" fillId="8" borderId="66" xfId="0" applyFont="1" applyFill="1" applyBorder="1" applyAlignment="1" applyProtection="1">
      <alignment horizontal="left" vertical="center" wrapText="1"/>
      <protection hidden="1"/>
    </xf>
    <xf numFmtId="0" fontId="14" fillId="9" borderId="1" xfId="0" applyFont="1" applyFill="1" applyBorder="1" applyAlignment="1" applyProtection="1">
      <alignment horizontal="center" vertical="center" wrapText="1"/>
      <protection hidden="1"/>
    </xf>
    <xf numFmtId="0" fontId="16" fillId="8" borderId="2" xfId="0" applyFont="1" applyFill="1" applyBorder="1" applyAlignment="1" applyProtection="1">
      <alignment horizontal="left" vertical="center" wrapText="1"/>
      <protection hidden="1"/>
    </xf>
    <xf numFmtId="0" fontId="20" fillId="8" borderId="11" xfId="0" applyFont="1" applyFill="1" applyBorder="1" applyAlignment="1" applyProtection="1">
      <alignment horizontal="left" vertical="center" wrapText="1"/>
      <protection hidden="1"/>
    </xf>
    <xf numFmtId="0" fontId="11" fillId="8" borderId="66" xfId="0" applyFont="1" applyFill="1" applyBorder="1" applyProtection="1">
      <protection hidden="1"/>
    </xf>
    <xf numFmtId="0" fontId="17" fillId="8" borderId="19" xfId="0" applyFont="1" applyFill="1" applyBorder="1" applyAlignment="1" applyProtection="1">
      <alignment horizontal="left" vertical="center" wrapText="1"/>
      <protection hidden="1"/>
    </xf>
    <xf numFmtId="3" fontId="14" fillId="8" borderId="1" xfId="0" applyNumberFormat="1" applyFont="1" applyFill="1" applyBorder="1" applyAlignment="1" applyProtection="1">
      <alignment horizontal="right" vertical="center" wrapText="1"/>
      <protection hidden="1"/>
    </xf>
    <xf numFmtId="167" fontId="14" fillId="8" borderId="1" xfId="5" applyNumberFormat="1" applyFont="1" applyFill="1" applyBorder="1" applyAlignment="1" applyProtection="1">
      <alignment horizontal="right" vertical="center"/>
      <protection hidden="1"/>
    </xf>
    <xf numFmtId="0" fontId="53" fillId="0" borderId="0" xfId="0" applyFont="1" applyProtection="1">
      <protection hidden="1"/>
    </xf>
    <xf numFmtId="3" fontId="17" fillId="23" borderId="2" xfId="5" applyNumberFormat="1" applyFont="1" applyFill="1" applyBorder="1" applyAlignment="1" applyProtection="1">
      <alignment horizontal="right"/>
      <protection hidden="1"/>
    </xf>
    <xf numFmtId="0" fontId="49" fillId="8" borderId="0" xfId="0" applyFont="1" applyFill="1" applyAlignment="1" applyProtection="1">
      <alignment horizontal="left" vertical="center"/>
      <protection hidden="1"/>
    </xf>
    <xf numFmtId="0" fontId="49" fillId="0" borderId="0" xfId="0" applyFont="1" applyAlignment="1" applyProtection="1">
      <alignment horizontal="left" vertical="center"/>
      <protection hidden="1"/>
    </xf>
    <xf numFmtId="0" fontId="54" fillId="0" borderId="0" xfId="0" applyFont="1" applyProtection="1">
      <protection hidden="1"/>
    </xf>
    <xf numFmtId="3" fontId="0" fillId="8" borderId="0" xfId="0" applyNumberFormat="1" applyFill="1" applyProtection="1">
      <protection hidden="1"/>
    </xf>
    <xf numFmtId="9" fontId="0" fillId="8" borderId="0" xfId="0" applyNumberFormat="1" applyFill="1" applyProtection="1">
      <protection hidden="1"/>
    </xf>
    <xf numFmtId="164" fontId="11" fillId="23" borderId="12" xfId="5" applyFont="1" applyFill="1" applyBorder="1" applyAlignment="1" applyProtection="1">
      <alignment horizontal="right" vertical="center"/>
      <protection hidden="1"/>
    </xf>
    <xf numFmtId="164" fontId="17" fillId="23" borderId="11" xfId="5" applyFont="1" applyFill="1" applyBorder="1" applyAlignment="1" applyProtection="1">
      <alignment vertical="center" wrapText="1"/>
      <protection hidden="1"/>
    </xf>
    <xf numFmtId="164" fontId="14" fillId="23" borderId="66" xfId="5" applyFont="1" applyFill="1" applyBorder="1" applyAlignment="1" applyProtection="1">
      <alignment horizontal="left" vertical="center"/>
      <protection hidden="1"/>
    </xf>
    <xf numFmtId="164" fontId="11" fillId="23" borderId="9" xfId="5" applyFont="1" applyFill="1" applyBorder="1" applyAlignment="1" applyProtection="1">
      <alignment horizontal="left" vertical="center"/>
      <protection hidden="1"/>
    </xf>
    <xf numFmtId="164" fontId="15" fillId="23" borderId="8" xfId="5" applyFont="1" applyFill="1" applyBorder="1" applyAlignment="1" applyProtection="1">
      <alignment horizontal="centerContinuous" vertical="center" wrapText="1"/>
      <protection hidden="1"/>
    </xf>
    <xf numFmtId="0" fontId="16" fillId="23" borderId="8" xfId="5" applyNumberFormat="1" applyFont="1" applyFill="1" applyBorder="1" applyAlignment="1" applyProtection="1">
      <alignment horizontal="center" vertical="center" wrapText="1"/>
      <protection hidden="1"/>
    </xf>
    <xf numFmtId="0" fontId="0" fillId="23" borderId="0" xfId="0" applyFill="1" applyProtection="1">
      <protection hidden="1"/>
    </xf>
    <xf numFmtId="0" fontId="16" fillId="23" borderId="2" xfId="0" applyFont="1" applyFill="1" applyBorder="1" applyAlignment="1" applyProtection="1">
      <alignment horizontal="left" vertical="center"/>
      <protection hidden="1"/>
    </xf>
    <xf numFmtId="0" fontId="17" fillId="23" borderId="12" xfId="0" applyFont="1" applyFill="1" applyBorder="1" applyAlignment="1" applyProtection="1">
      <alignment horizontal="right" vertical="center"/>
      <protection hidden="1"/>
    </xf>
    <xf numFmtId="0" fontId="17" fillId="23" borderId="12" xfId="0" applyFont="1" applyFill="1" applyBorder="1" applyAlignment="1" applyProtection="1">
      <alignment horizontal="left" vertical="center" wrapText="1"/>
      <protection hidden="1"/>
    </xf>
    <xf numFmtId="0" fontId="16" fillId="23" borderId="1" xfId="0" applyFont="1" applyFill="1" applyBorder="1" applyAlignment="1" applyProtection="1">
      <alignment horizontal="left" vertical="center" wrapText="1"/>
      <protection hidden="1"/>
    </xf>
    <xf numFmtId="49" fontId="17" fillId="23" borderId="11" xfId="0" applyNumberFormat="1" applyFont="1" applyFill="1" applyBorder="1" applyAlignment="1" applyProtection="1">
      <alignment horizontal="left" vertical="center" wrapText="1"/>
      <protection hidden="1"/>
    </xf>
    <xf numFmtId="167" fontId="11" fillId="8" borderId="11" xfId="5" applyNumberFormat="1" applyFont="1" applyFill="1" applyBorder="1" applyAlignment="1" applyProtection="1">
      <alignment horizontal="right" vertical="center"/>
      <protection locked="0" hidden="1"/>
    </xf>
    <xf numFmtId="164" fontId="29" fillId="23" borderId="11" xfId="5" applyFont="1" applyFill="1" applyBorder="1" applyAlignment="1" applyProtection="1">
      <alignment vertical="center" wrapText="1"/>
      <protection hidden="1"/>
    </xf>
    <xf numFmtId="3" fontId="11" fillId="8" borderId="1" xfId="0" applyNumberFormat="1" applyFont="1" applyFill="1" applyBorder="1" applyAlignment="1" applyProtection="1">
      <alignment horizontal="right"/>
      <protection locked="0"/>
    </xf>
    <xf numFmtId="3" fontId="17" fillId="8" borderId="1" xfId="0" applyNumberFormat="1" applyFont="1" applyFill="1" applyBorder="1" applyAlignment="1" applyProtection="1">
      <alignment horizontal="right"/>
      <protection locked="0"/>
    </xf>
    <xf numFmtId="4" fontId="17" fillId="8" borderId="1" xfId="0" applyNumberFormat="1" applyFont="1" applyFill="1" applyBorder="1" applyAlignment="1" applyProtection="1">
      <alignment horizontal="right"/>
      <protection locked="0"/>
    </xf>
    <xf numFmtId="170" fontId="17" fillId="8" borderId="1" xfId="0" applyNumberFormat="1" applyFont="1" applyFill="1" applyBorder="1" applyAlignment="1" applyProtection="1">
      <alignment horizontal="right"/>
      <protection locked="0"/>
    </xf>
    <xf numFmtId="0" fontId="11" fillId="4" borderId="41" xfId="0" applyFont="1" applyFill="1" applyBorder="1" applyAlignment="1" applyProtection="1">
      <alignment horizontal="centerContinuous"/>
      <protection hidden="1"/>
    </xf>
    <xf numFmtId="0" fontId="11" fillId="4" borderId="0" xfId="0" applyFont="1" applyFill="1" applyAlignment="1" applyProtection="1">
      <alignment horizontal="centerContinuous"/>
      <protection hidden="1"/>
    </xf>
    <xf numFmtId="0" fontId="11" fillId="4" borderId="0" xfId="6" applyFont="1" applyFill="1" applyProtection="1">
      <protection hidden="1"/>
    </xf>
    <xf numFmtId="164" fontId="14" fillId="4" borderId="0" xfId="5" applyFont="1" applyFill="1" applyBorder="1" applyAlignment="1" applyProtection="1">
      <alignment vertical="center" wrapText="1"/>
      <protection hidden="1"/>
    </xf>
    <xf numFmtId="169" fontId="14" fillId="9" borderId="1" xfId="5" applyNumberFormat="1" applyFont="1" applyFill="1" applyBorder="1" applyAlignment="1" applyProtection="1">
      <alignment horizontal="right" vertical="center"/>
      <protection hidden="1"/>
    </xf>
    <xf numFmtId="169" fontId="11" fillId="10" borderId="11" xfId="5" applyNumberFormat="1" applyFont="1" applyFill="1" applyBorder="1" applyAlignment="1" applyProtection="1">
      <alignment horizontal="right" vertical="center"/>
      <protection hidden="1"/>
    </xf>
    <xf numFmtId="169" fontId="11" fillId="8" borderId="11" xfId="5" applyNumberFormat="1" applyFont="1" applyFill="1" applyBorder="1" applyAlignment="1" applyProtection="1">
      <alignment horizontal="right" vertical="center"/>
      <protection hidden="1"/>
    </xf>
    <xf numFmtId="169" fontId="0" fillId="0" borderId="0" xfId="0" applyNumberFormat="1" applyProtection="1">
      <protection hidden="1"/>
    </xf>
    <xf numFmtId="169" fontId="14" fillId="5" borderId="1" xfId="5" applyNumberFormat="1" applyFont="1" applyFill="1" applyBorder="1" applyAlignment="1" applyProtection="1">
      <alignment horizontal="right" vertical="center"/>
      <protection hidden="1"/>
    </xf>
    <xf numFmtId="169" fontId="14" fillId="8" borderId="1" xfId="5" applyNumberFormat="1" applyFont="1" applyFill="1" applyBorder="1" applyAlignment="1" applyProtection="1">
      <alignment horizontal="right" vertical="center"/>
      <protection hidden="1"/>
    </xf>
    <xf numFmtId="169" fontId="11" fillId="4" borderId="11" xfId="5" applyNumberFormat="1" applyFont="1" applyFill="1" applyBorder="1" applyAlignment="1" applyProtection="1">
      <alignment horizontal="right" vertical="center"/>
      <protection hidden="1"/>
    </xf>
    <xf numFmtId="169" fontId="11" fillId="8" borderId="78" xfId="5" applyNumberFormat="1" applyFont="1" applyFill="1" applyBorder="1" applyAlignment="1" applyProtection="1">
      <alignment horizontal="right" vertical="center"/>
      <protection hidden="1"/>
    </xf>
    <xf numFmtId="169" fontId="0" fillId="0" borderId="25" xfId="0" applyNumberFormat="1" applyBorder="1" applyProtection="1">
      <protection hidden="1"/>
    </xf>
    <xf numFmtId="0" fontId="38" fillId="37" borderId="1" xfId="3" applyFont="1" applyFill="1" applyBorder="1" applyAlignment="1" applyProtection="1">
      <alignment horizontal="left"/>
      <protection hidden="1"/>
    </xf>
    <xf numFmtId="3" fontId="38" fillId="37" borderId="1" xfId="0" applyNumberFormat="1" applyFont="1" applyFill="1" applyBorder="1" applyAlignment="1" applyProtection="1">
      <alignment horizontal="right"/>
      <protection hidden="1"/>
    </xf>
    <xf numFmtId="3" fontId="2" fillId="38" borderId="1" xfId="0" applyNumberFormat="1" applyFont="1" applyFill="1" applyBorder="1" applyAlignment="1" applyProtection="1">
      <alignment horizontal="right"/>
      <protection hidden="1"/>
    </xf>
    <xf numFmtId="3" fontId="17" fillId="8" borderId="1" xfId="0" applyNumberFormat="1" applyFont="1" applyFill="1" applyBorder="1" applyAlignment="1" applyProtection="1">
      <alignment horizontal="right"/>
      <protection hidden="1"/>
    </xf>
    <xf numFmtId="3" fontId="2" fillId="37" borderId="1" xfId="0" applyNumberFormat="1" applyFont="1" applyFill="1" applyBorder="1" applyAlignment="1" applyProtection="1">
      <alignment horizontal="right"/>
      <protection hidden="1"/>
    </xf>
    <xf numFmtId="3" fontId="9" fillId="8" borderId="1" xfId="0" applyNumberFormat="1" applyFont="1" applyFill="1" applyBorder="1" applyAlignment="1" applyProtection="1">
      <alignment horizontal="right"/>
      <protection hidden="1"/>
    </xf>
    <xf numFmtId="4" fontId="9" fillId="8" borderId="1" xfId="0" applyNumberFormat="1" applyFont="1" applyFill="1" applyBorder="1" applyAlignment="1" applyProtection="1">
      <alignment horizontal="right"/>
      <protection hidden="1"/>
    </xf>
    <xf numFmtId="3" fontId="9" fillId="0" borderId="1" xfId="0" applyNumberFormat="1" applyFont="1" applyBorder="1" applyAlignment="1" applyProtection="1">
      <alignment horizontal="right"/>
      <protection hidden="1"/>
    </xf>
    <xf numFmtId="10" fontId="9" fillId="0" borderId="1" xfId="1" applyNumberFormat="1" applyFont="1" applyBorder="1" applyAlignment="1" applyProtection="1">
      <alignment horizontal="right"/>
      <protection hidden="1"/>
    </xf>
    <xf numFmtId="3" fontId="0" fillId="8" borderId="1" xfId="0" applyNumberFormat="1" applyFill="1" applyBorder="1" applyAlignment="1" applyProtection="1">
      <alignment horizontal="left"/>
      <protection hidden="1"/>
    </xf>
    <xf numFmtId="3" fontId="48" fillId="8" borderId="0" xfId="0" applyNumberFormat="1" applyFont="1" applyFill="1" applyAlignment="1" applyProtection="1">
      <alignment horizontal="left" vertical="center"/>
      <protection hidden="1"/>
    </xf>
    <xf numFmtId="0" fontId="43" fillId="0" borderId="1" xfId="0" applyFont="1" applyBorder="1" applyAlignment="1" applyProtection="1">
      <alignment horizontal="left"/>
      <protection locked="0"/>
    </xf>
    <xf numFmtId="3" fontId="17" fillId="39" borderId="1" xfId="0" applyNumberFormat="1" applyFont="1" applyFill="1" applyBorder="1" applyAlignment="1" applyProtection="1">
      <alignment horizontal="right"/>
      <protection hidden="1"/>
    </xf>
    <xf numFmtId="0" fontId="38" fillId="34" borderId="1" xfId="3" applyFont="1" applyFill="1" applyBorder="1" applyAlignment="1" applyProtection="1">
      <alignment horizontal="left"/>
      <protection hidden="1"/>
    </xf>
    <xf numFmtId="3" fontId="38" fillId="34" borderId="1" xfId="0" applyNumberFormat="1" applyFont="1" applyFill="1" applyBorder="1" applyAlignment="1" applyProtection="1">
      <alignment horizontal="right"/>
      <protection hidden="1"/>
    </xf>
    <xf numFmtId="0" fontId="49" fillId="0" borderId="0" xfId="0" applyFont="1" applyAlignment="1" applyProtection="1">
      <alignment horizontal="left" vertical="center"/>
      <protection locked="0"/>
    </xf>
    <xf numFmtId="169" fontId="14" fillId="8" borderId="11" xfId="5" applyNumberFormat="1" applyFont="1" applyFill="1" applyBorder="1" applyAlignment="1" applyProtection="1">
      <alignment horizontal="right" vertical="center"/>
      <protection hidden="1"/>
    </xf>
    <xf numFmtId="167" fontId="14" fillId="9" borderId="11" xfId="5" applyNumberFormat="1" applyFont="1" applyFill="1" applyBorder="1" applyAlignment="1" applyProtection="1">
      <alignment horizontal="right" vertical="center"/>
      <protection hidden="1"/>
    </xf>
    <xf numFmtId="167" fontId="11" fillId="23" borderId="11" xfId="5" applyNumberFormat="1" applyFont="1" applyFill="1" applyBorder="1" applyAlignment="1" applyProtection="1">
      <alignment horizontal="right" vertical="center"/>
      <protection hidden="1"/>
    </xf>
    <xf numFmtId="167" fontId="11" fillId="23" borderId="12" xfId="5" applyNumberFormat="1" applyFont="1" applyFill="1" applyBorder="1" applyAlignment="1" applyProtection="1">
      <alignment horizontal="right" vertical="center"/>
      <protection hidden="1"/>
    </xf>
    <xf numFmtId="167" fontId="11" fillId="23" borderId="78" xfId="5" applyNumberFormat="1" applyFont="1" applyFill="1" applyBorder="1" applyAlignment="1" applyProtection="1">
      <alignment horizontal="right" vertical="center"/>
      <protection hidden="1"/>
    </xf>
    <xf numFmtId="167" fontId="11" fillId="23" borderId="79" xfId="5" applyNumberFormat="1" applyFont="1" applyFill="1" applyBorder="1" applyAlignment="1" applyProtection="1">
      <alignment horizontal="right" vertical="center"/>
      <protection hidden="1"/>
    </xf>
    <xf numFmtId="167" fontId="14" fillId="23" borderId="1" xfId="5" applyNumberFormat="1" applyFont="1" applyFill="1" applyBorder="1" applyAlignment="1" applyProtection="1">
      <alignment horizontal="right" vertical="center"/>
      <protection hidden="1"/>
    </xf>
    <xf numFmtId="167" fontId="14" fillId="23" borderId="11" xfId="5" applyNumberFormat="1" applyFont="1" applyFill="1" applyBorder="1" applyAlignment="1" applyProtection="1">
      <alignment horizontal="right" vertical="center"/>
      <protection hidden="1"/>
    </xf>
    <xf numFmtId="3" fontId="14" fillId="40" borderId="1" xfId="5" applyNumberFormat="1" applyFont="1" applyFill="1" applyBorder="1" applyAlignment="1" applyProtection="1">
      <alignment horizontal="right" vertical="center"/>
      <protection hidden="1"/>
    </xf>
    <xf numFmtId="3" fontId="11" fillId="23" borderId="11" xfId="5" applyNumberFormat="1" applyFont="1" applyFill="1" applyBorder="1" applyAlignment="1" applyProtection="1">
      <alignment horizontal="right" vertical="center"/>
      <protection hidden="1"/>
    </xf>
    <xf numFmtId="3" fontId="11" fillId="23" borderId="12" xfId="5" applyNumberFormat="1" applyFont="1" applyFill="1" applyBorder="1" applyAlignment="1" applyProtection="1">
      <alignment horizontal="right" vertical="center"/>
      <protection hidden="1"/>
    </xf>
    <xf numFmtId="3" fontId="11" fillId="40" borderId="1" xfId="5" applyNumberFormat="1" applyFont="1" applyFill="1" applyBorder="1" applyAlignment="1" applyProtection="1">
      <alignment horizontal="right" vertical="center"/>
      <protection hidden="1"/>
    </xf>
    <xf numFmtId="3" fontId="11" fillId="40" borderId="2" xfId="5" applyNumberFormat="1" applyFont="1" applyFill="1" applyBorder="1" applyAlignment="1" applyProtection="1">
      <alignment horizontal="right" vertical="center"/>
      <protection hidden="1"/>
    </xf>
    <xf numFmtId="3" fontId="14" fillId="40" borderId="1" xfId="5" applyNumberFormat="1" applyFont="1" applyFill="1" applyBorder="1" applyAlignment="1" applyProtection="1">
      <alignment vertical="center"/>
      <protection hidden="1"/>
    </xf>
    <xf numFmtId="3" fontId="14" fillId="40" borderId="2" xfId="5" applyNumberFormat="1" applyFont="1" applyFill="1" applyBorder="1" applyAlignment="1" applyProtection="1">
      <alignment horizontal="right" vertical="center"/>
      <protection hidden="1"/>
    </xf>
    <xf numFmtId="3" fontId="0" fillId="8" borderId="65" xfId="0" applyNumberFormat="1" applyFill="1" applyBorder="1" applyProtection="1">
      <protection hidden="1"/>
    </xf>
    <xf numFmtId="3" fontId="0" fillId="8" borderId="0" xfId="0" applyNumberFormat="1" applyFill="1" applyAlignment="1" applyProtection="1">
      <alignment wrapText="1"/>
      <protection hidden="1"/>
    </xf>
    <xf numFmtId="14" fontId="22" fillId="0" borderId="7" xfId="0" applyNumberFormat="1" applyFont="1" applyBorder="1" applyAlignment="1" applyProtection="1">
      <alignment horizontal="center"/>
      <protection hidden="1"/>
    </xf>
    <xf numFmtId="14" fontId="22" fillId="0" borderId="73" xfId="0" applyNumberFormat="1" applyFont="1" applyBorder="1" applyAlignment="1" applyProtection="1">
      <alignment horizontal="center"/>
      <protection hidden="1"/>
    </xf>
    <xf numFmtId="2" fontId="32" fillId="0" borderId="0" xfId="0" applyNumberFormat="1" applyFont="1" applyProtection="1">
      <protection hidden="1"/>
    </xf>
    <xf numFmtId="0" fontId="0" fillId="0" borderId="73" xfId="0" applyBorder="1" applyProtection="1">
      <protection hidden="1"/>
    </xf>
    <xf numFmtId="0" fontId="0" fillId="0" borderId="21" xfId="0" applyBorder="1" applyProtection="1">
      <protection hidden="1"/>
    </xf>
    <xf numFmtId="2" fontId="23" fillId="24" borderId="45" xfId="0" applyNumberFormat="1" applyFont="1" applyFill="1" applyBorder="1" applyAlignment="1" applyProtection="1">
      <alignment horizontal="center" vertical="center" wrapText="1"/>
      <protection hidden="1"/>
    </xf>
    <xf numFmtId="2" fontId="23" fillId="24" borderId="46" xfId="0" applyNumberFormat="1" applyFont="1" applyFill="1" applyBorder="1" applyAlignment="1" applyProtection="1">
      <alignment horizontal="center" vertical="center"/>
      <protection hidden="1"/>
    </xf>
    <xf numFmtId="0" fontId="23" fillId="24" borderId="46" xfId="0" applyFont="1" applyFill="1" applyBorder="1" applyAlignment="1" applyProtection="1">
      <alignment horizontal="center" vertical="center"/>
      <protection hidden="1"/>
    </xf>
    <xf numFmtId="0" fontId="23" fillId="24" borderId="47" xfId="0" applyFont="1" applyFill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/>
      <protection hidden="1"/>
    </xf>
    <xf numFmtId="4" fontId="23" fillId="0" borderId="1" xfId="0" applyNumberFormat="1" applyFont="1" applyBorder="1" applyAlignment="1" applyProtection="1">
      <alignment horizontal="center"/>
      <protection hidden="1"/>
    </xf>
    <xf numFmtId="14" fontId="25" fillId="0" borderId="2" xfId="0" applyNumberFormat="1" applyFont="1" applyBorder="1" applyAlignment="1" applyProtection="1">
      <alignment horizontal="center"/>
      <protection hidden="1"/>
    </xf>
    <xf numFmtId="14" fontId="0" fillId="0" borderId="4" xfId="0" applyNumberFormat="1" applyBorder="1" applyAlignment="1" applyProtection="1">
      <alignment horizontal="center"/>
      <protection hidden="1"/>
    </xf>
    <xf numFmtId="14" fontId="26" fillId="0" borderId="1" xfId="0" applyNumberFormat="1" applyFont="1" applyBorder="1" applyAlignment="1" applyProtection="1">
      <alignment horizontal="right"/>
      <protection hidden="1"/>
    </xf>
    <xf numFmtId="14" fontId="0" fillId="0" borderId="18" xfId="0" applyNumberFormat="1" applyBorder="1" applyProtection="1">
      <protection hidden="1"/>
    </xf>
    <xf numFmtId="14" fontId="0" fillId="0" borderId="23" xfId="0" applyNumberFormat="1" applyBorder="1" applyProtection="1">
      <protection hidden="1"/>
    </xf>
    <xf numFmtId="14" fontId="0" fillId="0" borderId="13" xfId="0" applyNumberFormat="1" applyBorder="1" applyProtection="1">
      <protection hidden="1"/>
    </xf>
    <xf numFmtId="0" fontId="60" fillId="0" borderId="0" xfId="0" applyFont="1" applyAlignment="1">
      <alignment vertical="center"/>
    </xf>
    <xf numFmtId="0" fontId="60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hidden="1"/>
    </xf>
    <xf numFmtId="3" fontId="14" fillId="23" borderId="43" xfId="0" applyNumberFormat="1" applyFont="1" applyFill="1" applyBorder="1" applyAlignment="1" applyProtection="1">
      <alignment horizontal="right" vertical="center" wrapText="1"/>
      <protection hidden="1"/>
    </xf>
    <xf numFmtId="3" fontId="14" fillId="23" borderId="1" xfId="0" applyNumberFormat="1" applyFont="1" applyFill="1" applyBorder="1" applyAlignment="1" applyProtection="1">
      <alignment horizontal="right" vertical="center" wrapText="1"/>
      <protection hidden="1"/>
    </xf>
    <xf numFmtId="3" fontId="11" fillId="16" borderId="1" xfId="0" applyNumberFormat="1" applyFont="1" applyFill="1" applyBorder="1" applyAlignment="1" applyProtection="1">
      <alignment horizontal="right"/>
      <protection hidden="1"/>
    </xf>
    <xf numFmtId="3" fontId="30" fillId="0" borderId="1" xfId="1" applyNumberFormat="1" applyFont="1" applyBorder="1" applyAlignment="1" applyProtection="1">
      <alignment horizontal="right"/>
      <protection locked="0"/>
    </xf>
    <xf numFmtId="3" fontId="30" fillId="0" borderId="1" xfId="0" applyNumberFormat="1" applyFont="1" applyBorder="1" applyAlignment="1" applyProtection="1">
      <alignment horizontal="right"/>
      <protection locked="0"/>
    </xf>
    <xf numFmtId="0" fontId="61" fillId="0" borderId="0" xfId="0" applyFont="1" applyProtection="1">
      <protection hidden="1"/>
    </xf>
    <xf numFmtId="0" fontId="17" fillId="23" borderId="84" xfId="0" applyFont="1" applyFill="1" applyBorder="1" applyAlignment="1" applyProtection="1">
      <alignment horizontal="right" vertical="center"/>
      <protection hidden="1"/>
    </xf>
    <xf numFmtId="0" fontId="17" fillId="23" borderId="85" xfId="0" applyFont="1" applyFill="1" applyBorder="1" applyAlignment="1" applyProtection="1">
      <alignment horizontal="left" vertical="center" wrapText="1"/>
      <protection hidden="1"/>
    </xf>
    <xf numFmtId="3" fontId="11" fillId="8" borderId="85" xfId="5" applyNumberFormat="1" applyFont="1" applyFill="1" applyBorder="1" applyAlignment="1" applyProtection="1">
      <alignment horizontal="right" vertical="center"/>
      <protection locked="0"/>
    </xf>
    <xf numFmtId="3" fontId="11" fillId="8" borderId="85" xfId="5" applyNumberFormat="1" applyFont="1" applyFill="1" applyBorder="1" applyAlignment="1" applyProtection="1">
      <alignment horizontal="right" vertical="center"/>
      <protection hidden="1"/>
    </xf>
    <xf numFmtId="0" fontId="17" fillId="14" borderId="86" xfId="0" applyFont="1" applyFill="1" applyBorder="1" applyAlignment="1" applyProtection="1">
      <alignment vertical="center"/>
      <protection hidden="1"/>
    </xf>
    <xf numFmtId="0" fontId="17" fillId="14" borderId="6" xfId="0" applyFont="1" applyFill="1" applyBorder="1" applyAlignment="1" applyProtection="1">
      <alignment vertical="center"/>
      <protection hidden="1"/>
    </xf>
    <xf numFmtId="0" fontId="18" fillId="14" borderId="90" xfId="0" applyFont="1" applyFill="1" applyBorder="1" applyAlignment="1" applyProtection="1">
      <alignment vertical="center" wrapText="1"/>
      <protection hidden="1"/>
    </xf>
    <xf numFmtId="0" fontId="14" fillId="9" borderId="7" xfId="0" applyFont="1" applyFill="1" applyBorder="1" applyAlignment="1" applyProtection="1">
      <alignment vertical="center"/>
      <protection hidden="1"/>
    </xf>
    <xf numFmtId="0" fontId="16" fillId="23" borderId="91" xfId="0" applyFont="1" applyFill="1" applyBorder="1" applyAlignment="1" applyProtection="1">
      <alignment horizontal="center" vertical="center"/>
      <protection hidden="1"/>
    </xf>
    <xf numFmtId="0" fontId="17" fillId="23" borderId="92" xfId="0" applyFont="1" applyFill="1" applyBorder="1" applyAlignment="1" applyProtection="1">
      <alignment horizontal="right" vertical="center"/>
      <protection hidden="1"/>
    </xf>
    <xf numFmtId="3" fontId="11" fillId="8" borderId="93" xfId="5" applyNumberFormat="1" applyFont="1" applyFill="1" applyBorder="1" applyAlignment="1" applyProtection="1">
      <alignment horizontal="right" vertical="center"/>
      <protection locked="0"/>
    </xf>
    <xf numFmtId="3" fontId="14" fillId="8" borderId="10" xfId="0" applyNumberFormat="1" applyFont="1" applyFill="1" applyBorder="1" applyAlignment="1" applyProtection="1">
      <alignment horizontal="right" vertical="center" wrapText="1"/>
      <protection locked="0"/>
    </xf>
    <xf numFmtId="3" fontId="11" fillId="15" borderId="10" xfId="5" applyNumberFormat="1" applyFont="1" applyFill="1" applyBorder="1" applyAlignment="1" applyProtection="1">
      <alignment horizontal="right" vertical="center"/>
      <protection hidden="1"/>
    </xf>
    <xf numFmtId="3" fontId="11" fillId="4" borderId="93" xfId="5" applyNumberFormat="1" applyFont="1" applyFill="1" applyBorder="1" applyAlignment="1" applyProtection="1">
      <alignment horizontal="right" vertical="center"/>
      <protection hidden="1"/>
    </xf>
    <xf numFmtId="3" fontId="11" fillId="8" borderId="93" xfId="5" applyNumberFormat="1" applyFont="1" applyFill="1" applyBorder="1" applyAlignment="1" applyProtection="1">
      <alignment horizontal="right" vertical="center"/>
      <protection hidden="1"/>
    </xf>
    <xf numFmtId="3" fontId="11" fillId="8" borderId="94" xfId="5" applyNumberFormat="1" applyFont="1" applyFill="1" applyBorder="1" applyAlignment="1" applyProtection="1">
      <alignment horizontal="right" vertical="center"/>
      <protection hidden="1"/>
    </xf>
    <xf numFmtId="0" fontId="17" fillId="8" borderId="92" xfId="0" applyFont="1" applyFill="1" applyBorder="1" applyAlignment="1" applyProtection="1">
      <alignment horizontal="right" vertical="center"/>
      <protection hidden="1"/>
    </xf>
    <xf numFmtId="3" fontId="14" fillId="21" borderId="10" xfId="5" applyNumberFormat="1" applyFont="1" applyFill="1" applyBorder="1" applyAlignment="1" applyProtection="1">
      <alignment horizontal="right" vertical="center"/>
      <protection hidden="1"/>
    </xf>
    <xf numFmtId="0" fontId="16" fillId="8" borderId="91" xfId="0" applyFont="1" applyFill="1" applyBorder="1" applyAlignment="1" applyProtection="1">
      <alignment horizontal="center" vertical="center"/>
      <protection hidden="1"/>
    </xf>
    <xf numFmtId="3" fontId="14" fillId="8" borderId="10" xfId="0" applyNumberFormat="1" applyFont="1" applyFill="1" applyBorder="1" applyAlignment="1" applyProtection="1">
      <alignment horizontal="right" vertical="center" wrapText="1"/>
      <protection hidden="1"/>
    </xf>
    <xf numFmtId="3" fontId="14" fillId="21" borderId="10" xfId="5" applyNumberFormat="1" applyFont="1" applyFill="1" applyBorder="1" applyAlignment="1" applyProtection="1">
      <alignment vertical="center"/>
      <protection locked="0"/>
    </xf>
    <xf numFmtId="3" fontId="14" fillId="21" borderId="10" xfId="5" applyNumberFormat="1" applyFont="1" applyFill="1" applyBorder="1" applyAlignment="1" applyProtection="1">
      <alignment horizontal="right" vertical="center"/>
      <protection locked="0"/>
    </xf>
    <xf numFmtId="3" fontId="11" fillId="21" borderId="10" xfId="5" applyNumberFormat="1" applyFont="1" applyFill="1" applyBorder="1" applyAlignment="1" applyProtection="1">
      <alignment horizontal="right" vertical="center"/>
      <protection locked="0"/>
    </xf>
    <xf numFmtId="0" fontId="16" fillId="8" borderId="95" xfId="0" applyFont="1" applyFill="1" applyBorder="1" applyAlignment="1" applyProtection="1">
      <alignment horizontal="center" vertical="center"/>
      <protection hidden="1"/>
    </xf>
    <xf numFmtId="3" fontId="14" fillId="21" borderId="83" xfId="5" applyNumberFormat="1" applyFont="1" applyFill="1" applyBorder="1" applyAlignment="1" applyProtection="1">
      <alignment horizontal="right" vertical="center"/>
      <protection hidden="1"/>
    </xf>
    <xf numFmtId="0" fontId="35" fillId="26" borderId="96" xfId="0" applyFont="1" applyFill="1" applyBorder="1" applyAlignment="1" applyProtection="1">
      <alignment vertical="center"/>
      <protection hidden="1"/>
    </xf>
    <xf numFmtId="3" fontId="35" fillId="27" borderId="80" xfId="5" applyNumberFormat="1" applyFont="1" applyFill="1" applyBorder="1" applyAlignment="1" applyProtection="1">
      <alignment horizontal="right" vertical="center"/>
      <protection hidden="1"/>
    </xf>
    <xf numFmtId="0" fontId="17" fillId="8" borderId="6" xfId="0" applyFont="1" applyFill="1" applyBorder="1" applyAlignment="1" applyProtection="1">
      <alignment vertical="center"/>
      <protection hidden="1"/>
    </xf>
    <xf numFmtId="164" fontId="17" fillId="8" borderId="90" xfId="5" applyFont="1" applyFill="1" applyBorder="1" applyAlignment="1" applyProtection="1">
      <alignment horizontal="right" vertical="center"/>
      <protection hidden="1"/>
    </xf>
    <xf numFmtId="0" fontId="14" fillId="9" borderId="91" xfId="0" applyFont="1" applyFill="1" applyBorder="1" applyAlignment="1" applyProtection="1">
      <alignment vertical="center"/>
      <protection hidden="1"/>
    </xf>
    <xf numFmtId="0" fontId="14" fillId="9" borderId="83" xfId="5" applyNumberFormat="1" applyFont="1" applyFill="1" applyBorder="1" applyAlignment="1" applyProtection="1">
      <alignment horizontal="center" vertical="center" wrapText="1"/>
      <protection hidden="1"/>
    </xf>
    <xf numFmtId="3" fontId="16" fillId="4" borderId="80" xfId="0" applyNumberFormat="1" applyFont="1" applyFill="1" applyBorder="1" applyAlignment="1" applyProtection="1">
      <alignment horizontal="right" vertical="center" wrapText="1"/>
      <protection hidden="1"/>
    </xf>
    <xf numFmtId="3" fontId="11" fillId="8" borderId="93" xfId="5" applyNumberFormat="1" applyFont="1" applyFill="1" applyBorder="1" applyAlignment="1" applyProtection="1">
      <alignment vertical="center"/>
      <protection hidden="1"/>
    </xf>
    <xf numFmtId="3" fontId="16" fillId="4" borderId="10" xfId="0" applyNumberFormat="1" applyFont="1" applyFill="1" applyBorder="1" applyAlignment="1" applyProtection="1">
      <alignment vertical="center" wrapText="1"/>
      <protection hidden="1"/>
    </xf>
    <xf numFmtId="0" fontId="16" fillId="8" borderId="91" xfId="0" applyFont="1" applyFill="1" applyBorder="1" applyAlignment="1" applyProtection="1">
      <alignment horizontal="left" vertical="center"/>
      <protection hidden="1"/>
    </xf>
    <xf numFmtId="3" fontId="14" fillId="40" borderId="10" xfId="5" applyNumberFormat="1" applyFont="1" applyFill="1" applyBorder="1" applyAlignment="1" applyProtection="1">
      <alignment horizontal="right" vertical="center"/>
      <protection hidden="1"/>
    </xf>
    <xf numFmtId="0" fontId="17" fillId="23" borderId="92" xfId="0" applyFont="1" applyFill="1" applyBorder="1" applyAlignment="1" applyProtection="1">
      <alignment horizontal="left" vertical="center" wrapText="1"/>
      <protection hidden="1"/>
    </xf>
    <xf numFmtId="0" fontId="17" fillId="23" borderId="97" xfId="0" applyFont="1" applyFill="1" applyBorder="1" applyAlignment="1" applyProtection="1">
      <alignment horizontal="right" vertical="center"/>
      <protection hidden="1"/>
    </xf>
    <xf numFmtId="0" fontId="17" fillId="23" borderId="19" xfId="0" applyFont="1" applyFill="1" applyBorder="1" applyAlignment="1" applyProtection="1">
      <alignment horizontal="left" vertical="center" wrapText="1"/>
      <protection hidden="1"/>
    </xf>
    <xf numFmtId="3" fontId="11" fillId="8" borderId="19" xfId="5" applyNumberFormat="1" applyFont="1" applyFill="1" applyBorder="1" applyAlignment="1" applyProtection="1">
      <alignment horizontal="right" vertical="center"/>
      <protection locked="0"/>
    </xf>
    <xf numFmtId="3" fontId="11" fillId="23" borderId="19" xfId="5" applyNumberFormat="1" applyFont="1" applyFill="1" applyBorder="1" applyAlignment="1" applyProtection="1">
      <alignment horizontal="right" vertical="center"/>
      <protection hidden="1"/>
    </xf>
    <xf numFmtId="3" fontId="11" fillId="8" borderId="98" xfId="5" applyNumberFormat="1" applyFont="1" applyFill="1" applyBorder="1" applyAlignment="1" applyProtection="1">
      <alignment horizontal="right" vertical="center"/>
      <protection locked="0"/>
    </xf>
    <xf numFmtId="0" fontId="60" fillId="0" borderId="0" xfId="0" applyFont="1" applyAlignment="1">
      <alignment horizontal="justify" vertical="center"/>
    </xf>
    <xf numFmtId="0" fontId="62" fillId="0" borderId="0" xfId="0" applyFont="1" applyAlignment="1">
      <alignment vertical="center" wrapText="1"/>
    </xf>
    <xf numFmtId="0" fontId="63" fillId="0" borderId="0" xfId="0" applyFont="1" applyAlignment="1">
      <alignment horizontal="justify" vertical="center"/>
    </xf>
    <xf numFmtId="0" fontId="65" fillId="0" borderId="0" xfId="0" applyFont="1" applyAlignment="1">
      <alignment vertical="center"/>
    </xf>
    <xf numFmtId="0" fontId="63" fillId="0" borderId="0" xfId="0" applyFont="1" applyAlignment="1">
      <alignment horizontal="justify"/>
    </xf>
    <xf numFmtId="0" fontId="61" fillId="0" borderId="0" xfId="0" applyFont="1"/>
    <xf numFmtId="0" fontId="61" fillId="0" borderId="0" xfId="0" applyFont="1" applyAlignment="1">
      <alignment vertical="top"/>
    </xf>
    <xf numFmtId="0" fontId="63" fillId="0" borderId="0" xfId="0" applyFont="1" applyAlignment="1">
      <alignment horizontal="justify" vertical="top"/>
    </xf>
    <xf numFmtId="0" fontId="39" fillId="0" borderId="40" xfId="0" applyFont="1" applyBorder="1" applyProtection="1">
      <protection hidden="1"/>
    </xf>
    <xf numFmtId="3" fontId="40" fillId="5" borderId="48" xfId="0" applyNumberFormat="1" applyFont="1" applyFill="1" applyBorder="1" applyProtection="1">
      <protection hidden="1"/>
    </xf>
    <xf numFmtId="3" fontId="1" fillId="0" borderId="48" xfId="0" applyNumberFormat="1" applyFont="1" applyBorder="1" applyProtection="1">
      <protection hidden="1"/>
    </xf>
    <xf numFmtId="3" fontId="9" fillId="0" borderId="48" xfId="0" applyNumberFormat="1" applyFont="1" applyBorder="1" applyProtection="1">
      <protection locked="0"/>
    </xf>
    <xf numFmtId="9" fontId="30" fillId="16" borderId="48" xfId="1" applyFont="1" applyFill="1" applyBorder="1" applyProtection="1">
      <protection hidden="1"/>
    </xf>
    <xf numFmtId="0" fontId="41" fillId="0" borderId="0" xfId="4" applyFont="1" applyBorder="1" applyAlignment="1" applyProtection="1">
      <protection hidden="1"/>
    </xf>
    <xf numFmtId="0" fontId="2" fillId="29" borderId="86" xfId="3" applyFill="1" applyBorder="1" applyProtection="1">
      <protection hidden="1"/>
    </xf>
    <xf numFmtId="1" fontId="2" fillId="29" borderId="88" xfId="3" applyNumberFormat="1" applyFill="1" applyBorder="1" applyAlignment="1" applyProtection="1">
      <alignment horizontal="center"/>
      <protection hidden="1"/>
    </xf>
    <xf numFmtId="1" fontId="2" fillId="29" borderId="89" xfId="3" applyNumberFormat="1" applyFill="1" applyBorder="1" applyAlignment="1" applyProtection="1">
      <alignment horizontal="center"/>
      <protection hidden="1"/>
    </xf>
    <xf numFmtId="3" fontId="40" fillId="5" borderId="10" xfId="0" applyNumberFormat="1" applyFont="1" applyFill="1" applyBorder="1" applyProtection="1">
      <protection hidden="1"/>
    </xf>
    <xf numFmtId="0" fontId="11" fillId="0" borderId="81" xfId="0" applyFont="1" applyBorder="1" applyProtection="1">
      <protection hidden="1"/>
    </xf>
    <xf numFmtId="3" fontId="1" fillId="0" borderId="10" xfId="0" applyNumberFormat="1" applyFont="1" applyBorder="1" applyProtection="1">
      <protection hidden="1"/>
    </xf>
    <xf numFmtId="0" fontId="17" fillId="13" borderId="81" xfId="0" applyFont="1" applyFill="1" applyBorder="1" applyProtection="1">
      <protection hidden="1"/>
    </xf>
    <xf numFmtId="3" fontId="9" fillId="0" borderId="10" xfId="0" applyNumberFormat="1" applyFont="1" applyBorder="1" applyProtection="1">
      <protection locked="0"/>
    </xf>
    <xf numFmtId="0" fontId="9" fillId="13" borderId="81" xfId="0" applyFont="1" applyFill="1" applyBorder="1" applyProtection="1">
      <protection hidden="1"/>
    </xf>
    <xf numFmtId="0" fontId="30" fillId="16" borderId="81" xfId="0" applyFont="1" applyFill="1" applyBorder="1" applyProtection="1">
      <protection hidden="1"/>
    </xf>
    <xf numFmtId="9" fontId="30" fillId="16" borderId="10" xfId="1" applyFont="1" applyFill="1" applyBorder="1" applyProtection="1">
      <protection hidden="1"/>
    </xf>
    <xf numFmtId="3" fontId="9" fillId="0" borderId="14" xfId="0" applyNumberFormat="1" applyFont="1" applyBorder="1" applyProtection="1">
      <protection locked="0"/>
    </xf>
    <xf numFmtId="3" fontId="9" fillId="0" borderId="83" xfId="0" applyNumberFormat="1" applyFont="1" applyBorder="1" applyProtection="1">
      <protection locked="0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right" vertical="top"/>
    </xf>
    <xf numFmtId="0" fontId="63" fillId="0" borderId="0" xfId="0" applyFont="1" applyAlignment="1">
      <alignment horizontal="left"/>
    </xf>
    <xf numFmtId="167" fontId="11" fillId="0" borderId="0" xfId="0" applyNumberFormat="1" applyFont="1" applyAlignment="1" applyProtection="1">
      <alignment horizontal="left"/>
      <protection hidden="1"/>
    </xf>
    <xf numFmtId="0" fontId="63" fillId="0" borderId="0" xfId="0" applyFont="1" applyAlignment="1">
      <alignment horizontal="left" vertical="top"/>
    </xf>
    <xf numFmtId="0" fontId="61" fillId="0" borderId="0" xfId="0" applyFont="1" applyAlignment="1">
      <alignment horizontal="left" vertical="top"/>
    </xf>
    <xf numFmtId="0" fontId="11" fillId="0" borderId="0" xfId="0" applyFont="1" applyAlignment="1" applyProtection="1">
      <alignment horizontal="left"/>
      <protection hidden="1"/>
    </xf>
    <xf numFmtId="0" fontId="62" fillId="0" borderId="40" xfId="0" applyFont="1" applyBorder="1" applyAlignment="1">
      <alignment vertical="center" wrapText="1"/>
    </xf>
    <xf numFmtId="3" fontId="11" fillId="8" borderId="1" xfId="0" applyNumberFormat="1" applyFont="1" applyFill="1" applyBorder="1" applyAlignment="1" applyProtection="1">
      <alignment horizontal="right"/>
      <protection hidden="1"/>
    </xf>
    <xf numFmtId="3" fontId="30" fillId="0" borderId="1" xfId="1" applyNumberFormat="1" applyFont="1" applyBorder="1" applyAlignment="1" applyProtection="1">
      <alignment horizontal="right"/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16" borderId="0" xfId="0" applyFill="1" applyProtection="1">
      <protection locked="0"/>
    </xf>
    <xf numFmtId="169" fontId="11" fillId="8" borderId="11" xfId="5" applyNumberFormat="1" applyFont="1" applyFill="1" applyBorder="1" applyAlignment="1" applyProtection="1">
      <alignment horizontal="right" vertical="center"/>
      <protection locked="0"/>
    </xf>
    <xf numFmtId="166" fontId="10" fillId="25" borderId="76" xfId="0" applyNumberFormat="1" applyFont="1" applyFill="1" applyBorder="1" applyProtection="1">
      <protection hidden="1"/>
    </xf>
    <xf numFmtId="169" fontId="10" fillId="25" borderId="76" xfId="0" applyNumberFormat="1" applyFont="1" applyFill="1" applyBorder="1" applyProtection="1">
      <protection hidden="1"/>
    </xf>
    <xf numFmtId="0" fontId="36" fillId="6" borderId="3" xfId="3" applyFont="1" applyFill="1" applyBorder="1" applyProtection="1">
      <protection hidden="1"/>
    </xf>
    <xf numFmtId="0" fontId="36" fillId="6" borderId="40" xfId="3" applyFont="1" applyFill="1" applyBorder="1" applyProtection="1">
      <protection hidden="1"/>
    </xf>
    <xf numFmtId="166" fontId="10" fillId="25" borderId="2" xfId="0" applyNumberFormat="1" applyFont="1" applyFill="1" applyBorder="1" applyProtection="1">
      <protection hidden="1"/>
    </xf>
    <xf numFmtId="169" fontId="10" fillId="25" borderId="48" xfId="0" applyNumberFormat="1" applyFont="1" applyFill="1" applyBorder="1" applyProtection="1">
      <protection hidden="1"/>
    </xf>
    <xf numFmtId="3" fontId="39" fillId="8" borderId="24" xfId="0" applyNumberFormat="1" applyFont="1" applyFill="1" applyBorder="1" applyProtection="1">
      <protection locked="0" hidden="1"/>
    </xf>
    <xf numFmtId="0" fontId="21" fillId="0" borderId="0" xfId="0" applyFont="1" applyProtection="1">
      <protection hidden="1"/>
    </xf>
    <xf numFmtId="14" fontId="0" fillId="16" borderId="18" xfId="0" applyNumberFormat="1" applyFill="1" applyBorder="1" applyProtection="1">
      <protection locked="0" hidden="1"/>
    </xf>
    <xf numFmtId="0" fontId="0" fillId="0" borderId="0" xfId="0" quotePrefix="1" applyProtection="1">
      <protection hidden="1"/>
    </xf>
    <xf numFmtId="0" fontId="10" fillId="4" borderId="64" xfId="0" applyFont="1" applyFill="1" applyBorder="1" applyAlignment="1" applyProtection="1">
      <alignment horizontal="centerContinuous"/>
      <protection hidden="1"/>
    </xf>
    <xf numFmtId="0" fontId="11" fillId="18" borderId="99" xfId="0" applyFont="1" applyFill="1" applyBorder="1" applyProtection="1">
      <protection hidden="1"/>
    </xf>
    <xf numFmtId="0" fontId="0" fillId="0" borderId="88" xfId="0" applyBorder="1" applyAlignment="1">
      <alignment horizontal="center"/>
    </xf>
    <xf numFmtId="0" fontId="11" fillId="0" borderId="89" xfId="0" applyFont="1" applyBorder="1" applyAlignment="1" applyProtection="1">
      <alignment horizontal="center"/>
      <protection hidden="1"/>
    </xf>
    <xf numFmtId="0" fontId="11" fillId="20" borderId="100" xfId="0" applyFont="1" applyFill="1" applyBorder="1" applyProtection="1">
      <protection hidden="1"/>
    </xf>
    <xf numFmtId="0" fontId="0" fillId="0" borderId="0" xfId="0" applyAlignment="1">
      <alignment horizontal="center"/>
    </xf>
    <xf numFmtId="0" fontId="0" fillId="0" borderId="90" xfId="0" applyBorder="1" applyAlignment="1">
      <alignment horizontal="center"/>
    </xf>
    <xf numFmtId="0" fontId="11" fillId="20" borderId="6" xfId="0" applyFont="1" applyFill="1" applyBorder="1" applyProtection="1">
      <protection hidden="1"/>
    </xf>
    <xf numFmtId="0" fontId="11" fillId="11" borderId="101" xfId="0" applyFont="1" applyFill="1" applyBorder="1" applyProtection="1">
      <protection hidden="1"/>
    </xf>
    <xf numFmtId="0" fontId="11" fillId="11" borderId="6" xfId="0" applyFont="1" applyFill="1" applyBorder="1" applyProtection="1">
      <protection hidden="1"/>
    </xf>
    <xf numFmtId="0" fontId="11" fillId="8" borderId="6" xfId="0" applyFont="1" applyFill="1" applyBorder="1" applyProtection="1">
      <protection hidden="1"/>
    </xf>
    <xf numFmtId="0" fontId="0" fillId="0" borderId="16" xfId="0" applyBorder="1"/>
    <xf numFmtId="0" fontId="11" fillId="0" borderId="102" xfId="0" applyFont="1" applyBorder="1" applyAlignment="1" applyProtection="1">
      <alignment horizontal="center"/>
      <protection hidden="1"/>
    </xf>
    <xf numFmtId="0" fontId="66" fillId="0" borderId="88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14" fillId="0" borderId="17" xfId="0" applyFont="1" applyBorder="1" applyAlignment="1" applyProtection="1">
      <alignment horizontal="center"/>
      <protection hidden="1"/>
    </xf>
    <xf numFmtId="0" fontId="68" fillId="0" borderId="0" xfId="0" applyFont="1" applyProtection="1">
      <protection hidden="1"/>
    </xf>
    <xf numFmtId="0" fontId="68" fillId="0" borderId="0" xfId="0" applyFont="1"/>
    <xf numFmtId="0" fontId="67" fillId="0" borderId="0" xfId="0" applyFont="1" applyAlignment="1">
      <alignment horizontal="center"/>
    </xf>
    <xf numFmtId="9" fontId="0" fillId="16" borderId="0" xfId="0" applyNumberFormat="1" applyFill="1" applyProtection="1">
      <protection locked="0"/>
    </xf>
    <xf numFmtId="3" fontId="11" fillId="8" borderId="1" xfId="0" applyNumberFormat="1" applyFont="1" applyFill="1" applyBorder="1" applyAlignment="1">
      <alignment horizontal="right"/>
    </xf>
    <xf numFmtId="0" fontId="29" fillId="23" borderId="11" xfId="0" applyFont="1" applyFill="1" applyBorder="1" applyAlignment="1" applyProtection="1">
      <alignment vertical="center" wrapText="1"/>
      <protection hidden="1"/>
    </xf>
    <xf numFmtId="3" fontId="29" fillId="23" borderId="24" xfId="5" applyNumberFormat="1" applyFont="1" applyFill="1" applyBorder="1" applyProtection="1">
      <protection hidden="1"/>
    </xf>
    <xf numFmtId="0" fontId="29" fillId="23" borderId="11" xfId="0" applyFont="1" applyFill="1" applyBorder="1" applyAlignment="1" applyProtection="1">
      <alignment horizontal="left" vertical="center" wrapText="1"/>
      <protection hidden="1"/>
    </xf>
    <xf numFmtId="14" fontId="0" fillId="8" borderId="0" xfId="0" applyNumberFormat="1" applyFill="1" applyProtection="1">
      <protection locked="0" hidden="1"/>
    </xf>
    <xf numFmtId="0" fontId="23" fillId="24" borderId="7" xfId="0" applyFont="1" applyFill="1" applyBorder="1" applyAlignment="1" applyProtection="1">
      <alignment horizontal="center" vertical="center"/>
      <protection hidden="1"/>
    </xf>
    <xf numFmtId="0" fontId="23" fillId="24" borderId="21" xfId="0" applyFont="1" applyFill="1" applyBorder="1" applyAlignment="1" applyProtection="1">
      <alignment horizontal="center" vertical="center"/>
      <protection hidden="1"/>
    </xf>
    <xf numFmtId="0" fontId="17" fillId="13" borderId="1" xfId="0" applyFont="1" applyFill="1" applyBorder="1" applyProtection="1">
      <protection hidden="1"/>
    </xf>
    <xf numFmtId="0" fontId="9" fillId="13" borderId="1" xfId="0" applyFont="1" applyFill="1" applyBorder="1" applyProtection="1">
      <protection hidden="1"/>
    </xf>
    <xf numFmtId="3" fontId="17" fillId="23" borderId="1" xfId="5" applyNumberFormat="1" applyFont="1" applyFill="1" applyBorder="1" applyAlignment="1" applyProtection="1">
      <alignment horizontal="right"/>
      <protection hidden="1"/>
    </xf>
    <xf numFmtId="0" fontId="72" fillId="41" borderId="105" xfId="0" applyFont="1" applyFill="1" applyBorder="1" applyAlignment="1">
      <alignment vertical="center" wrapText="1"/>
    </xf>
    <xf numFmtId="0" fontId="69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48" fillId="0" borderId="0" xfId="0" applyFont="1" applyAlignment="1">
      <alignment horizontal="justify" vertical="center"/>
    </xf>
    <xf numFmtId="0" fontId="73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0" fillId="0" borderId="0" xfId="0" applyAlignment="1">
      <alignment horizontal="left"/>
    </xf>
    <xf numFmtId="0" fontId="77" fillId="0" borderId="0" xfId="0" applyFont="1" applyAlignment="1">
      <alignment horizontal="left" vertical="center"/>
    </xf>
    <xf numFmtId="0" fontId="76" fillId="0" borderId="0" xfId="0" applyFont="1" applyAlignment="1" applyProtection="1">
      <alignment vertical="center"/>
      <protection locked="0"/>
    </xf>
    <xf numFmtId="0" fontId="71" fillId="29" borderId="89" xfId="0" applyFont="1" applyFill="1" applyBorder="1" applyAlignment="1">
      <alignment horizontal="center" vertical="center"/>
    </xf>
    <xf numFmtId="0" fontId="71" fillId="29" borderId="89" xfId="0" applyFont="1" applyFill="1" applyBorder="1" applyAlignment="1">
      <alignment horizontal="center" vertical="center" wrapText="1"/>
    </xf>
    <xf numFmtId="0" fontId="70" fillId="29" borderId="104" xfId="0" applyFont="1" applyFill="1" applyBorder="1" applyAlignment="1">
      <alignment horizontal="center" vertical="center" wrapText="1"/>
    </xf>
    <xf numFmtId="0" fontId="40" fillId="29" borderId="105" xfId="0" applyFont="1" applyFill="1" applyBorder="1" applyAlignment="1">
      <alignment horizontal="center"/>
    </xf>
    <xf numFmtId="0" fontId="70" fillId="29" borderId="104" xfId="0" applyFont="1" applyFill="1" applyBorder="1" applyAlignment="1">
      <alignment horizontal="center" vertical="center"/>
    </xf>
    <xf numFmtId="0" fontId="83" fillId="29" borderId="105" xfId="0" applyFont="1" applyFill="1" applyBorder="1" applyAlignment="1">
      <alignment horizontal="center" vertical="center"/>
    </xf>
    <xf numFmtId="0" fontId="83" fillId="29" borderId="105" xfId="0" applyFont="1" applyFill="1" applyBorder="1" applyAlignment="1">
      <alignment horizontal="center" vertical="center" wrapText="1"/>
    </xf>
    <xf numFmtId="3" fontId="75" fillId="8" borderId="0" xfId="0" applyNumberFormat="1" applyFont="1" applyFill="1" applyAlignment="1" applyProtection="1">
      <alignment horizontal="center" vertical="center"/>
      <protection locked="0"/>
    </xf>
    <xf numFmtId="0" fontId="75" fillId="8" borderId="0" xfId="0" applyFont="1" applyFill="1" applyAlignment="1">
      <alignment vertical="center"/>
    </xf>
    <xf numFmtId="0" fontId="66" fillId="0" borderId="0" xfId="0" applyFont="1"/>
    <xf numFmtId="0" fontId="83" fillId="29" borderId="106" xfId="0" applyFont="1" applyFill="1" applyBorder="1" applyAlignment="1">
      <alignment horizontal="center" vertical="center"/>
    </xf>
    <xf numFmtId="3" fontId="11" fillId="16" borderId="1" xfId="0" applyNumberFormat="1" applyFont="1" applyFill="1" applyBorder="1" applyAlignment="1">
      <alignment horizontal="right"/>
    </xf>
    <xf numFmtId="4" fontId="61" fillId="0" borderId="0" xfId="0" applyNumberFormat="1" applyFont="1" applyAlignment="1">
      <alignment horizontal="left"/>
    </xf>
    <xf numFmtId="3" fontId="17" fillId="23" borderId="1" xfId="5" applyNumberFormat="1" applyFont="1" applyFill="1" applyBorder="1" applyAlignment="1" applyProtection="1">
      <alignment horizontal="right"/>
    </xf>
    <xf numFmtId="9" fontId="0" fillId="8" borderId="0" xfId="0" applyNumberFormat="1" applyFill="1" applyProtection="1">
      <protection locked="0"/>
    </xf>
    <xf numFmtId="3" fontId="17" fillId="16" borderId="1" xfId="0" applyNumberFormat="1" applyFont="1" applyFill="1" applyBorder="1" applyAlignment="1" applyProtection="1">
      <alignment horizontal="right"/>
      <protection locked="0"/>
    </xf>
    <xf numFmtId="3" fontId="11" fillId="16" borderId="1" xfId="0" applyNumberFormat="1" applyFont="1" applyFill="1" applyBorder="1" applyAlignment="1" applyProtection="1">
      <alignment horizontal="right"/>
      <protection locked="0"/>
    </xf>
    <xf numFmtId="0" fontId="0" fillId="0" borderId="6" xfId="0" applyBorder="1"/>
    <xf numFmtId="0" fontId="0" fillId="0" borderId="90" xfId="0" applyBorder="1"/>
    <xf numFmtId="0" fontId="39" fillId="0" borderId="0" xfId="0" applyFont="1" applyAlignment="1">
      <alignment horizontal="left" vertical="center"/>
    </xf>
    <xf numFmtId="3" fontId="81" fillId="31" borderId="102" xfId="0" applyNumberFormat="1" applyFont="1" applyFill="1" applyBorder="1" applyAlignment="1" applyProtection="1">
      <alignment horizontal="right" vertical="center"/>
      <protection locked="0"/>
    </xf>
    <xf numFmtId="3" fontId="69" fillId="42" borderId="102" xfId="0" applyNumberFormat="1" applyFont="1" applyFill="1" applyBorder="1" applyAlignment="1">
      <alignment horizontal="right" vertical="top"/>
    </xf>
    <xf numFmtId="3" fontId="76" fillId="0" borderId="102" xfId="0" applyNumberFormat="1" applyFont="1" applyBorder="1" applyAlignment="1" applyProtection="1">
      <alignment horizontal="right" vertical="center" wrapText="1"/>
      <protection locked="0"/>
    </xf>
    <xf numFmtId="3" fontId="76" fillId="0" borderId="102" xfId="0" applyNumberFormat="1" applyFont="1" applyBorder="1" applyAlignment="1" applyProtection="1">
      <alignment horizontal="right" vertical="center"/>
      <protection locked="0"/>
    </xf>
    <xf numFmtId="3" fontId="74" fillId="8" borderId="102" xfId="0" applyNumberFormat="1" applyFont="1" applyFill="1" applyBorder="1" applyAlignment="1" applyProtection="1">
      <alignment horizontal="right" vertical="center"/>
      <protection locked="0"/>
    </xf>
    <xf numFmtId="0" fontId="76" fillId="0" borderId="21" xfId="0" applyFont="1" applyBorder="1" applyAlignment="1" applyProtection="1">
      <alignment horizontal="right" vertical="center" wrapText="1"/>
      <protection locked="0"/>
    </xf>
    <xf numFmtId="0" fontId="76" fillId="0" borderId="21" xfId="0" applyFont="1" applyBorder="1" applyAlignment="1" applyProtection="1">
      <alignment horizontal="right" vertical="center"/>
      <protection locked="0"/>
    </xf>
    <xf numFmtId="0" fontId="76" fillId="42" borderId="102" xfId="0" applyFont="1" applyFill="1" applyBorder="1" applyAlignment="1">
      <alignment horizontal="right" vertical="center" wrapText="1"/>
    </xf>
    <xf numFmtId="0" fontId="76" fillId="0" borderId="102" xfId="0" applyFont="1" applyBorder="1" applyAlignment="1" applyProtection="1">
      <alignment horizontal="right" vertical="center"/>
      <protection locked="0"/>
    </xf>
    <xf numFmtId="0" fontId="74" fillId="31" borderId="102" xfId="0" applyFont="1" applyFill="1" applyBorder="1" applyAlignment="1" applyProtection="1">
      <alignment horizontal="right" vertical="center"/>
      <protection locked="0"/>
    </xf>
    <xf numFmtId="0" fontId="77" fillId="42" borderId="102" xfId="0" applyFont="1" applyFill="1" applyBorder="1" applyAlignment="1">
      <alignment horizontal="right" vertical="center" wrapText="1"/>
    </xf>
    <xf numFmtId="3" fontId="72" fillId="44" borderId="102" xfId="0" applyNumberFormat="1" applyFont="1" applyFill="1" applyBorder="1" applyAlignment="1">
      <alignment horizontal="right" vertical="center"/>
    </xf>
    <xf numFmtId="0" fontId="74" fillId="28" borderId="105" xfId="0" applyFont="1" applyFill="1" applyBorder="1" applyAlignment="1">
      <alignment vertical="center"/>
    </xf>
    <xf numFmtId="0" fontId="76" fillId="28" borderId="103" xfId="0" applyFont="1" applyFill="1" applyBorder="1" applyAlignment="1">
      <alignment vertical="center" wrapText="1"/>
    </xf>
    <xf numFmtId="0" fontId="76" fillId="28" borderId="105" xfId="0" applyFont="1" applyFill="1" applyBorder="1" applyAlignment="1">
      <alignment vertical="center"/>
    </xf>
    <xf numFmtId="3" fontId="73" fillId="43" borderId="102" xfId="0" applyNumberFormat="1" applyFont="1" applyFill="1" applyBorder="1" applyAlignment="1">
      <alignment horizontal="right" vertical="center" wrapText="1"/>
    </xf>
    <xf numFmtId="3" fontId="73" fillId="43" borderId="103" xfId="0" applyNumberFormat="1" applyFont="1" applyFill="1" applyBorder="1" applyAlignment="1">
      <alignment horizontal="right" vertical="center" wrapText="1"/>
    </xf>
    <xf numFmtId="3" fontId="73" fillId="8" borderId="103" xfId="0" applyNumberFormat="1" applyFont="1" applyFill="1" applyBorder="1" applyAlignment="1" applyProtection="1">
      <alignment horizontal="right" vertical="center" wrapText="1"/>
      <protection locked="0"/>
    </xf>
    <xf numFmtId="3" fontId="73" fillId="8" borderId="102" xfId="0" applyNumberFormat="1" applyFont="1" applyFill="1" applyBorder="1" applyAlignment="1" applyProtection="1">
      <alignment horizontal="right" vertical="center" wrapText="1"/>
      <protection locked="0"/>
    </xf>
    <xf numFmtId="0" fontId="74" fillId="28" borderId="105" xfId="0" applyFont="1" applyFill="1" applyBorder="1" applyAlignment="1">
      <alignment vertical="center" wrapText="1"/>
    </xf>
    <xf numFmtId="0" fontId="0" fillId="28" borderId="103" xfId="0" applyFill="1" applyBorder="1" applyAlignment="1">
      <alignment wrapText="1"/>
    </xf>
    <xf numFmtId="0" fontId="0" fillId="28" borderId="103" xfId="0" applyFill="1" applyBorder="1" applyAlignment="1">
      <alignment vertical="center"/>
    </xf>
    <xf numFmtId="0" fontId="0" fillId="44" borderId="0" xfId="0" applyFill="1"/>
    <xf numFmtId="0" fontId="72" fillId="44" borderId="105" xfId="0" applyFont="1" applyFill="1" applyBorder="1" applyAlignment="1">
      <alignment vertical="center"/>
    </xf>
    <xf numFmtId="0" fontId="66" fillId="0" borderId="0" xfId="0" applyFont="1" applyAlignment="1">
      <alignment vertical="top"/>
    </xf>
    <xf numFmtId="0" fontId="89" fillId="0" borderId="0" xfId="0" applyFont="1" applyAlignment="1">
      <alignment vertical="center"/>
    </xf>
    <xf numFmtId="0" fontId="31" fillId="44" borderId="6" xfId="0" applyFont="1" applyFill="1" applyBorder="1" applyAlignment="1">
      <alignment vertical="center" wrapText="1"/>
    </xf>
    <xf numFmtId="0" fontId="66" fillId="0" borderId="0" xfId="0" applyFont="1" applyAlignment="1">
      <alignment vertical="center"/>
    </xf>
    <xf numFmtId="3" fontId="14" fillId="23" borderId="80" xfId="0" applyNumberFormat="1" applyFont="1" applyFill="1" applyBorder="1" applyAlignment="1" applyProtection="1">
      <alignment horizontal="right" vertical="center" wrapText="1"/>
      <protection locked="0"/>
    </xf>
    <xf numFmtId="3" fontId="11" fillId="23" borderId="93" xfId="5" applyNumberFormat="1" applyFont="1" applyFill="1" applyBorder="1" applyAlignment="1" applyProtection="1">
      <alignment horizontal="right" vertical="center"/>
      <protection locked="0"/>
    </xf>
    <xf numFmtId="3" fontId="14" fillId="23" borderId="10" xfId="0" applyNumberFormat="1" applyFont="1" applyFill="1" applyBorder="1" applyAlignment="1" applyProtection="1">
      <alignment horizontal="right" vertical="center" wrapText="1"/>
      <protection locked="0"/>
    </xf>
    <xf numFmtId="3" fontId="17" fillId="8" borderId="1" xfId="5" applyNumberFormat="1" applyFont="1" applyFill="1" applyBorder="1" applyAlignment="1" applyProtection="1">
      <alignment horizontal="right"/>
      <protection locked="0" hidden="1"/>
    </xf>
    <xf numFmtId="3" fontId="17" fillId="8" borderId="2" xfId="5" applyNumberFormat="1" applyFont="1" applyFill="1" applyBorder="1" applyAlignment="1" applyProtection="1">
      <alignment horizontal="right"/>
      <protection locked="0" hidden="1"/>
    </xf>
    <xf numFmtId="3" fontId="17" fillId="13" borderId="40" xfId="5" applyNumberFormat="1" applyFont="1" applyFill="1" applyBorder="1" applyProtection="1">
      <protection hidden="1"/>
    </xf>
    <xf numFmtId="3" fontId="17" fillId="13" borderId="0" xfId="5" applyNumberFormat="1" applyFont="1" applyFill="1" applyBorder="1" applyProtection="1">
      <protection hidden="1"/>
    </xf>
    <xf numFmtId="0" fontId="75" fillId="29" borderId="16" xfId="0" applyFont="1" applyFill="1" applyBorder="1" applyAlignment="1">
      <alignment vertical="center" wrapText="1"/>
    </xf>
    <xf numFmtId="0" fontId="75" fillId="29" borderId="102" xfId="0" applyFont="1" applyFill="1" applyBorder="1" applyAlignment="1">
      <alignment vertical="center" wrapText="1"/>
    </xf>
    <xf numFmtId="0" fontId="94" fillId="8" borderId="102" xfId="0" applyFont="1" applyFill="1" applyBorder="1" applyAlignment="1" applyProtection="1">
      <alignment horizontal="center" vertical="center"/>
      <protection locked="0"/>
    </xf>
    <xf numFmtId="167" fontId="14" fillId="9" borderId="5" xfId="5" applyNumberFormat="1" applyFont="1" applyFill="1" applyBorder="1" applyAlignment="1" applyProtection="1">
      <alignment horizontal="right" vertical="center"/>
      <protection hidden="1"/>
    </xf>
    <xf numFmtId="0" fontId="30" fillId="16" borderId="103" xfId="0" applyFont="1" applyFill="1" applyBorder="1" applyProtection="1">
      <protection locked="0"/>
    </xf>
    <xf numFmtId="169" fontId="14" fillId="9" borderId="5" xfId="5" applyNumberFormat="1" applyFont="1" applyFill="1" applyBorder="1" applyAlignment="1" applyProtection="1">
      <alignment horizontal="right" vertical="center"/>
      <protection hidden="1"/>
    </xf>
    <xf numFmtId="0" fontId="0" fillId="4" borderId="0" xfId="0" applyFill="1" applyProtection="1">
      <protection hidden="1"/>
    </xf>
    <xf numFmtId="164" fontId="14" fillId="45" borderId="2" xfId="5" applyFont="1" applyFill="1" applyBorder="1" applyAlignment="1" applyProtection="1">
      <alignment horizontal="left" vertical="center"/>
      <protection hidden="1"/>
    </xf>
    <xf numFmtId="164" fontId="16" fillId="45" borderId="1" xfId="5" applyFont="1" applyFill="1" applyBorder="1" applyAlignment="1" applyProtection="1">
      <alignment vertical="center" wrapText="1"/>
      <protection hidden="1"/>
    </xf>
    <xf numFmtId="167" fontId="14" fillId="45" borderId="1" xfId="5" applyNumberFormat="1" applyFont="1" applyFill="1" applyBorder="1" applyAlignment="1" applyProtection="1">
      <alignment horizontal="right" vertical="center"/>
      <protection hidden="1"/>
    </xf>
    <xf numFmtId="169" fontId="14" fillId="45" borderId="1" xfId="5" applyNumberFormat="1" applyFont="1" applyFill="1" applyBorder="1" applyAlignment="1" applyProtection="1">
      <alignment horizontal="right" vertical="center"/>
      <protection hidden="1"/>
    </xf>
    <xf numFmtId="167" fontId="14" fillId="45" borderId="2" xfId="5" applyNumberFormat="1" applyFont="1" applyFill="1" applyBorder="1" applyAlignment="1" applyProtection="1">
      <alignment horizontal="right" vertical="center"/>
      <protection hidden="1"/>
    </xf>
    <xf numFmtId="0" fontId="0" fillId="45" borderId="0" xfId="0" applyFill="1" applyProtection="1">
      <protection hidden="1"/>
    </xf>
    <xf numFmtId="0" fontId="0" fillId="45" borderId="40" xfId="0" applyFill="1" applyBorder="1" applyProtection="1">
      <protection hidden="1"/>
    </xf>
    <xf numFmtId="9" fontId="11" fillId="16" borderId="103" xfId="6" applyNumberFormat="1" applyFont="1" applyFill="1" applyBorder="1" applyProtection="1">
      <protection locked="0"/>
    </xf>
    <xf numFmtId="0" fontId="66" fillId="0" borderId="0" xfId="0" applyFont="1" applyProtection="1">
      <protection hidden="1"/>
    </xf>
    <xf numFmtId="0" fontId="95" fillId="0" borderId="0" xfId="0" applyFont="1" applyProtection="1">
      <protection hidden="1"/>
    </xf>
    <xf numFmtId="0" fontId="34" fillId="45" borderId="7" xfId="0" applyFont="1" applyFill="1" applyBorder="1" applyAlignment="1" applyProtection="1">
      <alignment vertical="center"/>
      <protection hidden="1"/>
    </xf>
    <xf numFmtId="0" fontId="34" fillId="45" borderId="8" xfId="0" applyFont="1" applyFill="1" applyBorder="1" applyAlignment="1" applyProtection="1">
      <alignment horizontal="left" vertical="center" wrapText="1"/>
      <protection hidden="1"/>
    </xf>
    <xf numFmtId="3" fontId="34" fillId="46" borderId="8" xfId="5" applyNumberFormat="1" applyFont="1" applyFill="1" applyBorder="1" applyAlignment="1" applyProtection="1">
      <alignment horizontal="right" vertical="center"/>
      <protection hidden="1"/>
    </xf>
    <xf numFmtId="3" fontId="34" fillId="46" borderId="9" xfId="5" applyNumberFormat="1" applyFont="1" applyFill="1" applyBorder="1" applyAlignment="1" applyProtection="1">
      <alignment horizontal="right" vertical="center"/>
      <protection hidden="1"/>
    </xf>
    <xf numFmtId="3" fontId="34" fillId="46" borderId="77" xfId="5" applyNumberFormat="1" applyFont="1" applyFill="1" applyBorder="1" applyAlignment="1" applyProtection="1">
      <alignment horizontal="right" vertical="center"/>
      <protection hidden="1"/>
    </xf>
    <xf numFmtId="0" fontId="14" fillId="45" borderId="2" xfId="0" applyFont="1" applyFill="1" applyBorder="1" applyProtection="1">
      <protection hidden="1"/>
    </xf>
    <xf numFmtId="169" fontId="21" fillId="45" borderId="1" xfId="0" applyNumberFormat="1" applyFont="1" applyFill="1" applyBorder="1" applyAlignment="1" applyProtection="1">
      <alignment horizontal="center"/>
      <protection hidden="1"/>
    </xf>
    <xf numFmtId="3" fontId="21" fillId="45" borderId="48" xfId="0" applyNumberFormat="1" applyFont="1" applyFill="1" applyBorder="1" applyProtection="1">
      <protection hidden="1"/>
    </xf>
    <xf numFmtId="0" fontId="14" fillId="45" borderId="1" xfId="0" applyFont="1" applyFill="1" applyBorder="1" applyProtection="1">
      <protection hidden="1"/>
    </xf>
    <xf numFmtId="3" fontId="21" fillId="45" borderId="1" xfId="0" applyNumberFormat="1" applyFont="1" applyFill="1" applyBorder="1" applyProtection="1">
      <protection hidden="1"/>
    </xf>
    <xf numFmtId="0" fontId="11" fillId="45" borderId="2" xfId="0" applyFont="1" applyFill="1" applyBorder="1" applyProtection="1">
      <protection hidden="1"/>
    </xf>
    <xf numFmtId="0" fontId="11" fillId="45" borderId="48" xfId="0" applyFont="1" applyFill="1" applyBorder="1" applyProtection="1">
      <protection hidden="1"/>
    </xf>
    <xf numFmtId="0" fontId="11" fillId="45" borderId="64" xfId="0" applyFont="1" applyFill="1" applyBorder="1" applyProtection="1">
      <protection hidden="1"/>
    </xf>
    <xf numFmtId="0" fontId="11" fillId="45" borderId="65" xfId="0" applyFont="1" applyFill="1" applyBorder="1" applyProtection="1">
      <protection hidden="1"/>
    </xf>
    <xf numFmtId="3" fontId="9" fillId="45" borderId="1" xfId="0" applyNumberFormat="1" applyFont="1" applyFill="1" applyBorder="1" applyProtection="1">
      <protection hidden="1"/>
    </xf>
    <xf numFmtId="166" fontId="35" fillId="45" borderId="5" xfId="0" applyNumberFormat="1" applyFont="1" applyFill="1" applyBorder="1" applyProtection="1">
      <protection hidden="1"/>
    </xf>
    <xf numFmtId="166" fontId="35" fillId="45" borderId="1" xfId="0" applyNumberFormat="1" applyFont="1" applyFill="1" applyBorder="1" applyProtection="1">
      <protection hidden="1"/>
    </xf>
    <xf numFmtId="169" fontId="1" fillId="8" borderId="1" xfId="0" applyNumberFormat="1" applyFont="1" applyFill="1" applyBorder="1" applyProtection="1">
      <protection hidden="1"/>
    </xf>
    <xf numFmtId="169" fontId="11" fillId="8" borderId="1" xfId="0" applyNumberFormat="1" applyFont="1" applyFill="1" applyBorder="1"/>
    <xf numFmtId="0" fontId="11" fillId="45" borderId="1" xfId="0" applyFont="1" applyFill="1" applyBorder="1" applyAlignment="1" applyProtection="1">
      <alignment horizontal="left"/>
      <protection hidden="1"/>
    </xf>
    <xf numFmtId="3" fontId="11" fillId="45" borderId="1" xfId="0" applyNumberFormat="1" applyFont="1" applyFill="1" applyBorder="1" applyAlignment="1" applyProtection="1">
      <alignment horizontal="right"/>
      <protection hidden="1"/>
    </xf>
    <xf numFmtId="0" fontId="17" fillId="45" borderId="1" xfId="0" applyFont="1" applyFill="1" applyBorder="1" applyAlignment="1" applyProtection="1">
      <alignment horizontal="left"/>
      <protection hidden="1"/>
    </xf>
    <xf numFmtId="3" fontId="11" fillId="45" borderId="1" xfId="1" applyNumberFormat="1" applyFont="1" applyFill="1" applyBorder="1" applyAlignment="1" applyProtection="1">
      <alignment horizontal="right"/>
      <protection hidden="1"/>
    </xf>
    <xf numFmtId="0" fontId="40" fillId="45" borderId="81" xfId="0" applyFont="1" applyFill="1" applyBorder="1" applyProtection="1">
      <protection hidden="1"/>
    </xf>
    <xf numFmtId="3" fontId="40" fillId="45" borderId="1" xfId="0" applyNumberFormat="1" applyFont="1" applyFill="1" applyBorder="1" applyProtection="1">
      <protection hidden="1"/>
    </xf>
    <xf numFmtId="3" fontId="14" fillId="45" borderId="1" xfId="0" applyNumberFormat="1" applyFont="1" applyFill="1" applyBorder="1" applyAlignment="1">
      <alignment horizontal="right"/>
    </xf>
    <xf numFmtId="9" fontId="30" fillId="45" borderId="1" xfId="1" applyFont="1" applyFill="1" applyBorder="1" applyProtection="1">
      <protection hidden="1"/>
    </xf>
    <xf numFmtId="0" fontId="40" fillId="45" borderId="82" xfId="0" applyFont="1" applyFill="1" applyBorder="1" applyProtection="1">
      <protection hidden="1"/>
    </xf>
    <xf numFmtId="3" fontId="40" fillId="45" borderId="14" xfId="0" applyNumberFormat="1" applyFont="1" applyFill="1" applyBorder="1" applyProtection="1">
      <protection hidden="1"/>
    </xf>
    <xf numFmtId="3" fontId="9" fillId="45" borderId="14" xfId="0" applyNumberFormat="1" applyFont="1" applyFill="1" applyBorder="1" applyProtection="1">
      <protection locked="0"/>
    </xf>
    <xf numFmtId="3" fontId="21" fillId="45" borderId="1" xfId="0" applyNumberFormat="1" applyFont="1" applyFill="1" applyBorder="1" applyAlignment="1" applyProtection="1">
      <alignment horizontal="left" wrapText="1"/>
      <protection hidden="1"/>
    </xf>
    <xf numFmtId="3" fontId="30" fillId="16" borderId="1" xfId="0" applyNumberFormat="1" applyFont="1" applyFill="1" applyBorder="1" applyAlignment="1" applyProtection="1">
      <alignment horizontal="right"/>
      <protection locked="0"/>
    </xf>
    <xf numFmtId="0" fontId="11" fillId="47" borderId="66" xfId="0" applyFont="1" applyFill="1" applyBorder="1" applyProtection="1">
      <protection hidden="1"/>
    </xf>
    <xf numFmtId="2" fontId="11" fillId="47" borderId="0" xfId="0" applyNumberFormat="1" applyFont="1" applyFill="1" applyProtection="1">
      <protection hidden="1"/>
    </xf>
    <xf numFmtId="0" fontId="11" fillId="47" borderId="67" xfId="0" applyFont="1" applyFill="1" applyBorder="1" applyProtection="1">
      <protection hidden="1"/>
    </xf>
    <xf numFmtId="0" fontId="0" fillId="16" borderId="103" xfId="0" applyFill="1" applyBorder="1" applyProtection="1">
      <protection locked="0"/>
    </xf>
    <xf numFmtId="4" fontId="23" fillId="45" borderId="1" xfId="0" applyNumberFormat="1" applyFont="1" applyFill="1" applyBorder="1" applyAlignment="1" applyProtection="1">
      <alignment horizontal="center"/>
      <protection hidden="1"/>
    </xf>
    <xf numFmtId="4" fontId="23" fillId="45" borderId="5" xfId="0" applyNumberFormat="1" applyFont="1" applyFill="1" applyBorder="1" applyAlignment="1" applyProtection="1">
      <alignment horizontal="center"/>
      <protection hidden="1"/>
    </xf>
    <xf numFmtId="10" fontId="23" fillId="45" borderId="5" xfId="0" applyNumberFormat="1" applyFont="1" applyFill="1" applyBorder="1" applyAlignment="1" applyProtection="1">
      <alignment horizontal="center"/>
      <protection hidden="1"/>
    </xf>
    <xf numFmtId="0" fontId="0" fillId="45" borderId="0" xfId="0" applyFill="1" applyAlignment="1" applyProtection="1">
      <alignment wrapText="1"/>
      <protection hidden="1"/>
    </xf>
    <xf numFmtId="3" fontId="0" fillId="45" borderId="0" xfId="0" applyNumberFormat="1" applyFill="1" applyProtection="1">
      <protection hidden="1"/>
    </xf>
    <xf numFmtId="0" fontId="57" fillId="45" borderId="1" xfId="0" applyFont="1" applyFill="1" applyBorder="1" applyAlignment="1" applyProtection="1">
      <alignment horizontal="center" wrapText="1"/>
      <protection hidden="1"/>
    </xf>
    <xf numFmtId="4" fontId="21" fillId="45" borderId="0" xfId="0" applyNumberFormat="1" applyFont="1" applyFill="1" applyProtection="1">
      <protection hidden="1"/>
    </xf>
    <xf numFmtId="14" fontId="25" fillId="45" borderId="2" xfId="0" applyNumberFormat="1" applyFont="1" applyFill="1" applyBorder="1" applyAlignment="1" applyProtection="1">
      <alignment horizontal="center"/>
      <protection hidden="1"/>
    </xf>
    <xf numFmtId="14" fontId="25" fillId="45" borderId="35" xfId="0" applyNumberFormat="1" applyFont="1" applyFill="1" applyBorder="1" applyAlignment="1" applyProtection="1">
      <alignment horizontal="center"/>
      <protection hidden="1"/>
    </xf>
    <xf numFmtId="0" fontId="24" fillId="45" borderId="35" xfId="0" applyFont="1" applyFill="1" applyBorder="1" applyAlignment="1" applyProtection="1">
      <alignment horizontal="center"/>
      <protection hidden="1"/>
    </xf>
    <xf numFmtId="0" fontId="24" fillId="45" borderId="48" xfId="0" applyFont="1" applyFill="1" applyBorder="1" applyAlignment="1" applyProtection="1">
      <alignment horizontal="center"/>
      <protection hidden="1"/>
    </xf>
    <xf numFmtId="0" fontId="24" fillId="45" borderId="1" xfId="0" applyFont="1" applyFill="1" applyBorder="1" applyAlignment="1" applyProtection="1">
      <alignment horizontal="center" wrapText="1"/>
      <protection hidden="1"/>
    </xf>
    <xf numFmtId="14" fontId="5" fillId="45" borderId="1" xfId="0" applyNumberFormat="1" applyFont="1" applyFill="1" applyBorder="1" applyAlignment="1" applyProtection="1">
      <alignment horizontal="center"/>
      <protection hidden="1"/>
    </xf>
    <xf numFmtId="2" fontId="5" fillId="45" borderId="1" xfId="0" applyNumberFormat="1" applyFont="1" applyFill="1" applyBorder="1" applyAlignment="1" applyProtection="1">
      <alignment horizontal="center"/>
      <protection hidden="1"/>
    </xf>
    <xf numFmtId="4" fontId="5" fillId="45" borderId="1" xfId="0" applyNumberFormat="1" applyFont="1" applyFill="1" applyBorder="1" applyAlignment="1" applyProtection="1">
      <alignment horizontal="center"/>
      <protection hidden="1"/>
    </xf>
    <xf numFmtId="0" fontId="0" fillId="45" borderId="1" xfId="0" applyFill="1" applyBorder="1" applyAlignment="1" applyProtection="1">
      <alignment horizontal="center"/>
      <protection hidden="1"/>
    </xf>
    <xf numFmtId="4" fontId="0" fillId="45" borderId="0" xfId="0" applyNumberFormat="1" applyFill="1" applyProtection="1">
      <protection hidden="1"/>
    </xf>
    <xf numFmtId="1" fontId="0" fillId="45" borderId="1" xfId="0" applyNumberFormat="1" applyFill="1" applyBorder="1" applyAlignment="1" applyProtection="1">
      <alignment horizontal="center"/>
      <protection hidden="1"/>
    </xf>
    <xf numFmtId="4" fontId="0" fillId="45" borderId="1" xfId="0" applyNumberFormat="1" applyFill="1" applyBorder="1" applyProtection="1">
      <protection hidden="1"/>
    </xf>
    <xf numFmtId="4" fontId="0" fillId="45" borderId="1" xfId="0" applyNumberFormat="1" applyFill="1" applyBorder="1" applyAlignment="1" applyProtection="1">
      <alignment horizontal="center"/>
      <protection hidden="1"/>
    </xf>
    <xf numFmtId="2" fontId="24" fillId="45" borderId="10" xfId="0" applyNumberFormat="1" applyFont="1" applyFill="1" applyBorder="1" applyAlignment="1" applyProtection="1">
      <alignment horizontal="center"/>
      <protection hidden="1"/>
    </xf>
    <xf numFmtId="2" fontId="4" fillId="45" borderId="10" xfId="0" applyNumberFormat="1" applyFont="1" applyFill="1" applyBorder="1" applyAlignment="1" applyProtection="1">
      <alignment horizontal="center"/>
      <protection hidden="1"/>
    </xf>
    <xf numFmtId="1" fontId="0" fillId="45" borderId="4" xfId="0" applyNumberFormat="1" applyFill="1" applyBorder="1" applyAlignment="1" applyProtection="1">
      <alignment horizontal="center"/>
      <protection hidden="1"/>
    </xf>
    <xf numFmtId="4" fontId="0" fillId="45" borderId="4" xfId="0" applyNumberFormat="1" applyFill="1" applyBorder="1" applyAlignment="1" applyProtection="1">
      <alignment horizontal="center"/>
      <protection hidden="1"/>
    </xf>
    <xf numFmtId="4" fontId="0" fillId="45" borderId="4" xfId="0" applyNumberFormat="1" applyFill="1" applyBorder="1" applyProtection="1">
      <protection hidden="1"/>
    </xf>
    <xf numFmtId="0" fontId="0" fillId="16" borderId="103" xfId="0" applyFill="1" applyBorder="1" applyProtection="1">
      <protection locked="0" hidden="1"/>
    </xf>
    <xf numFmtId="14" fontId="0" fillId="48" borderId="4" xfId="0" applyNumberFormat="1" applyFill="1" applyBorder="1" applyAlignment="1" applyProtection="1">
      <alignment horizontal="center"/>
      <protection hidden="1"/>
    </xf>
    <xf numFmtId="2" fontId="0" fillId="48" borderId="4" xfId="0" applyNumberFormat="1" applyFill="1" applyBorder="1" applyAlignment="1" applyProtection="1">
      <alignment horizontal="center"/>
      <protection hidden="1"/>
    </xf>
    <xf numFmtId="0" fontId="0" fillId="48" borderId="4" xfId="0" applyFill="1" applyBorder="1" applyAlignment="1" applyProtection="1">
      <alignment horizontal="center"/>
      <protection hidden="1"/>
    </xf>
    <xf numFmtId="0" fontId="24" fillId="48" borderId="4" xfId="0" applyFont="1" applyFill="1" applyBorder="1" applyAlignment="1" applyProtection="1">
      <alignment horizontal="center" wrapText="1"/>
      <protection hidden="1"/>
    </xf>
    <xf numFmtId="3" fontId="72" fillId="8" borderId="102" xfId="0" applyNumberFormat="1" applyFont="1" applyFill="1" applyBorder="1" applyAlignment="1" applyProtection="1">
      <alignment horizontal="right" vertical="center"/>
      <protection locked="0"/>
    </xf>
    <xf numFmtId="0" fontId="82" fillId="29" borderId="102" xfId="0" applyFont="1" applyFill="1" applyBorder="1" applyAlignment="1">
      <alignment horizontal="center" vertical="center"/>
    </xf>
    <xf numFmtId="166" fontId="10" fillId="36" borderId="2" xfId="0" applyNumberFormat="1" applyFont="1" applyFill="1" applyBorder="1" applyProtection="1">
      <protection hidden="1"/>
    </xf>
    <xf numFmtId="166" fontId="14" fillId="36" borderId="1" xfId="0" applyNumberFormat="1" applyFont="1" applyFill="1" applyBorder="1" applyProtection="1">
      <protection hidden="1"/>
    </xf>
    <xf numFmtId="14" fontId="58" fillId="45" borderId="1" xfId="0" applyNumberFormat="1" applyFont="1" applyFill="1" applyBorder="1" applyAlignment="1" applyProtection="1">
      <alignment horizontal="right"/>
      <protection locked="0" hidden="1"/>
    </xf>
    <xf numFmtId="14" fontId="0" fillId="45" borderId="18" xfId="0" applyNumberFormat="1" applyFill="1" applyBorder="1" applyProtection="1">
      <protection locked="0" hidden="1"/>
    </xf>
    <xf numFmtId="14" fontId="37" fillId="16" borderId="1" xfId="0" applyNumberFormat="1" applyFont="1" applyFill="1" applyBorder="1" applyAlignment="1" applyProtection="1">
      <alignment horizontal="right"/>
      <protection locked="0" hidden="1"/>
    </xf>
    <xf numFmtId="3" fontId="35" fillId="8" borderId="1" xfId="0" applyNumberFormat="1" applyFont="1" applyFill="1" applyBorder="1" applyProtection="1">
      <protection locked="0"/>
    </xf>
    <xf numFmtId="1" fontId="0" fillId="16" borderId="103" xfId="0" applyNumberFormat="1" applyFill="1" applyBorder="1" applyProtection="1">
      <protection locked="0"/>
    </xf>
    <xf numFmtId="0" fontId="70" fillId="0" borderId="0" xfId="0" applyFont="1" applyAlignment="1">
      <alignment horizontal="center" vertical="center"/>
    </xf>
    <xf numFmtId="0" fontId="72" fillId="8" borderId="104" xfId="0" applyFont="1" applyFill="1" applyBorder="1" applyAlignment="1" applyProtection="1">
      <alignment horizontal="right" vertical="center" wrapText="1"/>
      <protection locked="0"/>
    </xf>
    <xf numFmtId="0" fontId="72" fillId="8" borderId="105" xfId="0" applyFont="1" applyFill="1" applyBorder="1" applyAlignment="1" applyProtection="1">
      <alignment horizontal="right" vertical="center" wrapText="1"/>
      <protection locked="0"/>
    </xf>
    <xf numFmtId="3" fontId="72" fillId="8" borderId="104" xfId="0" applyNumberFormat="1" applyFont="1" applyFill="1" applyBorder="1" applyAlignment="1" applyProtection="1">
      <alignment horizontal="right" vertical="center"/>
      <protection locked="0"/>
    </xf>
    <xf numFmtId="0" fontId="72" fillId="8" borderId="105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wrapText="1"/>
    </xf>
    <xf numFmtId="0" fontId="84" fillId="0" borderId="0" xfId="0" applyFont="1" applyAlignment="1">
      <alignment horizontal="center" vertical="center"/>
    </xf>
    <xf numFmtId="0" fontId="78" fillId="0" borderId="0" xfId="0" applyFont="1" applyAlignment="1">
      <alignment horizontal="left" vertical="center" wrapText="1"/>
    </xf>
    <xf numFmtId="0" fontId="86" fillId="0" borderId="0" xfId="0" applyFont="1" applyAlignment="1">
      <alignment horizontal="left" vertical="center"/>
    </xf>
    <xf numFmtId="0" fontId="76" fillId="32" borderId="86" xfId="0" applyFont="1" applyFill="1" applyBorder="1" applyAlignment="1" applyProtection="1">
      <alignment horizontal="left" vertical="top" wrapText="1"/>
      <protection locked="0"/>
    </xf>
    <xf numFmtId="0" fontId="76" fillId="32" borderId="88" xfId="0" applyFont="1" applyFill="1" applyBorder="1" applyAlignment="1" applyProtection="1">
      <alignment horizontal="left" vertical="top" wrapText="1"/>
      <protection locked="0"/>
    </xf>
    <xf numFmtId="0" fontId="76" fillId="32" borderId="89" xfId="0" applyFont="1" applyFill="1" applyBorder="1" applyAlignment="1" applyProtection="1">
      <alignment horizontal="left" vertical="top" wrapText="1"/>
      <protection locked="0"/>
    </xf>
    <xf numFmtId="0" fontId="76" fillId="32" borderId="16" xfId="0" applyFont="1" applyFill="1" applyBorder="1" applyAlignment="1" applyProtection="1">
      <alignment horizontal="left" vertical="top" wrapText="1"/>
      <protection locked="0"/>
    </xf>
    <xf numFmtId="0" fontId="76" fillId="32" borderId="17" xfId="0" applyFont="1" applyFill="1" applyBorder="1" applyAlignment="1" applyProtection="1">
      <alignment horizontal="left" vertical="top" wrapText="1"/>
      <protection locked="0"/>
    </xf>
    <xf numFmtId="0" fontId="76" fillId="32" borderId="102" xfId="0" applyFont="1" applyFill="1" applyBorder="1" applyAlignment="1" applyProtection="1">
      <alignment horizontal="left" vertical="top" wrapText="1"/>
      <protection locked="0"/>
    </xf>
    <xf numFmtId="0" fontId="76" fillId="0" borderId="0" xfId="0" applyFont="1" applyAlignment="1">
      <alignment horizontal="left" vertical="top"/>
    </xf>
    <xf numFmtId="0" fontId="77" fillId="0" borderId="0" xfId="0" applyFont="1" applyAlignment="1">
      <alignment horizontal="left" vertical="top" wrapText="1"/>
    </xf>
    <xf numFmtId="0" fontId="71" fillId="29" borderId="104" xfId="0" applyFont="1" applyFill="1" applyBorder="1" applyAlignment="1">
      <alignment horizontal="center" vertical="center" wrapText="1"/>
    </xf>
    <xf numFmtId="0" fontId="71" fillId="29" borderId="105" xfId="0" applyFont="1" applyFill="1" applyBorder="1" applyAlignment="1">
      <alignment horizontal="center" vertical="center" wrapText="1"/>
    </xf>
    <xf numFmtId="0" fontId="75" fillId="29" borderId="86" xfId="0" applyFont="1" applyFill="1" applyBorder="1" applyAlignment="1">
      <alignment horizontal="center" vertical="center" wrapText="1"/>
    </xf>
    <xf numFmtId="0" fontId="75" fillId="29" borderId="89" xfId="0" applyFont="1" applyFill="1" applyBorder="1" applyAlignment="1">
      <alignment horizontal="center" vertical="center" wrapText="1"/>
    </xf>
    <xf numFmtId="0" fontId="75" fillId="29" borderId="16" xfId="0" applyFont="1" applyFill="1" applyBorder="1" applyAlignment="1">
      <alignment horizontal="center" vertical="center" wrapText="1"/>
    </xf>
    <xf numFmtId="0" fontId="75" fillId="29" borderId="102" xfId="0" applyFont="1" applyFill="1" applyBorder="1" applyAlignment="1">
      <alignment horizontal="center" vertical="center" wrapText="1"/>
    </xf>
    <xf numFmtId="0" fontId="76" fillId="0" borderId="7" xfId="0" applyFont="1" applyBorder="1" applyAlignment="1" applyProtection="1">
      <alignment horizontal="right" vertical="center"/>
      <protection locked="0"/>
    </xf>
    <xf numFmtId="0" fontId="76" fillId="0" borderId="21" xfId="0" applyFont="1" applyBorder="1" applyAlignment="1" applyProtection="1">
      <alignment horizontal="right" vertical="center"/>
      <protection locked="0"/>
    </xf>
    <xf numFmtId="0" fontId="73" fillId="44" borderId="7" xfId="0" applyFont="1" applyFill="1" applyBorder="1" applyAlignment="1">
      <alignment horizontal="right" vertical="center"/>
    </xf>
    <xf numFmtId="0" fontId="73" fillId="44" borderId="21" xfId="0" applyFont="1" applyFill="1" applyBorder="1" applyAlignment="1">
      <alignment horizontal="right" vertical="center"/>
    </xf>
    <xf numFmtId="0" fontId="90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top" wrapText="1"/>
    </xf>
    <xf numFmtId="0" fontId="90" fillId="0" borderId="17" xfId="0" applyFont="1" applyBorder="1" applyAlignment="1">
      <alignment horizontal="center" vertical="top" wrapText="1"/>
    </xf>
    <xf numFmtId="0" fontId="75" fillId="29" borderId="86" xfId="0" applyFont="1" applyFill="1" applyBorder="1" applyAlignment="1">
      <alignment horizontal="left" vertical="top" wrapText="1"/>
    </xf>
    <xf numFmtId="0" fontId="75" fillId="29" borderId="89" xfId="0" applyFont="1" applyFill="1" applyBorder="1" applyAlignment="1">
      <alignment horizontal="left" vertical="top" wrapText="1"/>
    </xf>
    <xf numFmtId="0" fontId="63" fillId="0" borderId="0" xfId="0" applyFont="1" applyAlignment="1">
      <alignment horizontal="center" vertical="center" wrapText="1"/>
    </xf>
    <xf numFmtId="0" fontId="18" fillId="14" borderId="87" xfId="0" applyFont="1" applyFill="1" applyBorder="1" applyAlignment="1" applyProtection="1">
      <alignment horizontal="center" vertical="center" wrapText="1"/>
      <protection hidden="1"/>
    </xf>
    <xf numFmtId="0" fontId="18" fillId="14" borderId="88" xfId="0" applyFont="1" applyFill="1" applyBorder="1" applyAlignment="1" applyProtection="1">
      <alignment horizontal="center" vertical="center" wrapText="1"/>
      <protection hidden="1"/>
    </xf>
    <xf numFmtId="0" fontId="18" fillId="14" borderId="89" xfId="0" applyFont="1" applyFill="1" applyBorder="1" applyAlignment="1" applyProtection="1">
      <alignment horizontal="center" vertical="center" wrapText="1"/>
      <protection hidden="1"/>
    </xf>
    <xf numFmtId="0" fontId="31" fillId="33" borderId="40" xfId="0" applyFont="1" applyFill="1" applyBorder="1" applyAlignment="1" applyProtection="1">
      <alignment horizontal="center"/>
      <protection hidden="1"/>
    </xf>
    <xf numFmtId="0" fontId="42" fillId="6" borderId="2" xfId="3" applyFont="1" applyFill="1" applyBorder="1" applyAlignment="1" applyProtection="1">
      <alignment horizontal="center" wrapText="1"/>
      <protection hidden="1"/>
    </xf>
    <xf numFmtId="0" fontId="42" fillId="6" borderId="48" xfId="3" applyFont="1" applyFill="1" applyBorder="1" applyAlignment="1" applyProtection="1">
      <alignment horizontal="center" wrapText="1"/>
      <protection hidden="1"/>
    </xf>
    <xf numFmtId="0" fontId="62" fillId="0" borderId="0" xfId="0" applyFont="1" applyAlignment="1">
      <alignment horizontal="center" vertical="center" wrapText="1"/>
    </xf>
    <xf numFmtId="0" fontId="62" fillId="0" borderId="40" xfId="0" applyFont="1" applyBorder="1" applyAlignment="1">
      <alignment horizontal="center" vertical="center" wrapText="1"/>
    </xf>
    <xf numFmtId="0" fontId="60" fillId="0" borderId="0" xfId="0" applyFont="1" applyAlignment="1" applyProtection="1">
      <alignment horizontal="left" vertical="top" wrapText="1"/>
      <protection locked="0"/>
    </xf>
    <xf numFmtId="0" fontId="60" fillId="0" borderId="0" xfId="0" applyFont="1" applyAlignment="1">
      <alignment horizontal="left" vertical="center" wrapText="1"/>
    </xf>
    <xf numFmtId="0" fontId="44" fillId="0" borderId="2" xfId="0" applyFont="1" applyBorder="1" applyAlignment="1" applyProtection="1">
      <alignment horizontal="left" vertical="center"/>
      <protection hidden="1"/>
    </xf>
    <xf numFmtId="0" fontId="44" fillId="0" borderId="48" xfId="0" applyFont="1" applyBorder="1" applyAlignment="1" applyProtection="1">
      <alignment horizontal="left" vertical="center"/>
      <protection hidden="1"/>
    </xf>
    <xf numFmtId="4" fontId="30" fillId="39" borderId="4" xfId="0" applyNumberFormat="1" applyFont="1" applyFill="1" applyBorder="1" applyAlignment="1" applyProtection="1">
      <alignment horizontal="center"/>
      <protection hidden="1"/>
    </xf>
    <xf numFmtId="4" fontId="30" fillId="39" borderId="76" xfId="0" applyNumberFormat="1" applyFont="1" applyFill="1" applyBorder="1" applyAlignment="1" applyProtection="1">
      <alignment horizontal="center"/>
      <protection hidden="1"/>
    </xf>
    <xf numFmtId="4" fontId="30" fillId="39" borderId="5" xfId="0" applyNumberFormat="1" applyFont="1" applyFill="1" applyBorder="1" applyAlignment="1" applyProtection="1">
      <alignment horizontal="center"/>
      <protection hidden="1"/>
    </xf>
    <xf numFmtId="0" fontId="59" fillId="0" borderId="0" xfId="0" applyFont="1" applyAlignment="1">
      <alignment horizontal="center" vertical="center" wrapText="1"/>
    </xf>
    <xf numFmtId="4" fontId="60" fillId="0" borderId="0" xfId="0" applyNumberFormat="1" applyFont="1" applyAlignment="1">
      <alignment horizontal="left" vertical="center" wrapText="1"/>
    </xf>
    <xf numFmtId="0" fontId="60" fillId="0" borderId="41" xfId="0" applyFont="1" applyBorder="1" applyAlignment="1">
      <alignment horizontal="left" vertical="center" wrapText="1"/>
    </xf>
    <xf numFmtId="3" fontId="0" fillId="0" borderId="22" xfId="0" applyNumberFormat="1" applyBorder="1" applyAlignment="1" applyProtection="1">
      <alignment horizontal="center"/>
      <protection hidden="1"/>
    </xf>
    <xf numFmtId="3" fontId="0" fillId="0" borderId="40" xfId="0" applyNumberFormat="1" applyBorder="1" applyAlignment="1" applyProtection="1">
      <alignment horizontal="center"/>
      <protection hidden="1"/>
    </xf>
  </cellXfs>
  <cellStyles count="7">
    <cellStyle name="Akcent 1" xfId="2" builtinId="29"/>
    <cellStyle name="Akcent 2" xfId="3" builtinId="33"/>
    <cellStyle name="Dziesiętny" xfId="5" builtinId="3"/>
    <cellStyle name="Hiperłącze" xfId="4" builtinId="8"/>
    <cellStyle name="Normalny" xfId="0" builtinId="0"/>
    <cellStyle name="Normalny_RW" xfId="6" xr:uid="{00000000-0005-0000-0000-000005000000}"/>
    <cellStyle name="Procentowy" xfId="1" builtinId="5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13</xdr:row>
      <xdr:rowOff>38100</xdr:rowOff>
    </xdr:from>
    <xdr:to>
      <xdr:col>6</xdr:col>
      <xdr:colOff>581025</xdr:colOff>
      <xdr:row>13</xdr:row>
      <xdr:rowOff>200024</xdr:rowOff>
    </xdr:to>
    <xdr:sp macro="" textlink="">
      <xdr:nvSpPr>
        <xdr:cNvPr id="4" name="Strzałka: w lewo 3">
          <a:extLst>
            <a:ext uri="{FF2B5EF4-FFF2-40B4-BE49-F238E27FC236}">
              <a16:creationId xmlns:a16="http://schemas.microsoft.com/office/drawing/2014/main" id="{2845434A-C0DC-425B-954D-DC982FC680DF}"/>
            </a:ext>
          </a:extLst>
        </xdr:cNvPr>
        <xdr:cNvSpPr/>
      </xdr:nvSpPr>
      <xdr:spPr>
        <a:xfrm>
          <a:off x="6667500" y="2990850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53496</xdr:colOff>
      <xdr:row>16</xdr:row>
      <xdr:rowOff>44823</xdr:rowOff>
    </xdr:from>
    <xdr:to>
      <xdr:col>6</xdr:col>
      <xdr:colOff>596421</xdr:colOff>
      <xdr:row>16</xdr:row>
      <xdr:rowOff>224115</xdr:rowOff>
    </xdr:to>
    <xdr:sp macro="" textlink="">
      <xdr:nvSpPr>
        <xdr:cNvPr id="5" name="Strzałka: w lewo 4">
          <a:extLst>
            <a:ext uri="{FF2B5EF4-FFF2-40B4-BE49-F238E27FC236}">
              <a16:creationId xmlns:a16="http://schemas.microsoft.com/office/drawing/2014/main" id="{50ADB7D8-D3DC-41AC-9336-A792DBA6CF4C}"/>
            </a:ext>
          </a:extLst>
        </xdr:cNvPr>
        <xdr:cNvSpPr/>
      </xdr:nvSpPr>
      <xdr:spPr>
        <a:xfrm flipV="1">
          <a:off x="9197496" y="3552264"/>
          <a:ext cx="1148043" cy="17929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47625</xdr:colOff>
      <xdr:row>22</xdr:row>
      <xdr:rowOff>10354</xdr:rowOff>
    </xdr:from>
    <xdr:to>
      <xdr:col>6</xdr:col>
      <xdr:colOff>590550</xdr:colOff>
      <xdr:row>22</xdr:row>
      <xdr:rowOff>196712</xdr:rowOff>
    </xdr:to>
    <xdr:sp macro="" textlink="">
      <xdr:nvSpPr>
        <xdr:cNvPr id="6" name="Strzałka: w lewo 5">
          <a:extLst>
            <a:ext uri="{FF2B5EF4-FFF2-40B4-BE49-F238E27FC236}">
              <a16:creationId xmlns:a16="http://schemas.microsoft.com/office/drawing/2014/main" id="{5776BF6F-01FF-4DBA-A9D4-9F0EBE9CB567}"/>
            </a:ext>
          </a:extLst>
        </xdr:cNvPr>
        <xdr:cNvSpPr/>
      </xdr:nvSpPr>
      <xdr:spPr>
        <a:xfrm>
          <a:off x="8723658" y="5093805"/>
          <a:ext cx="1153767" cy="18635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Pulpit/Kopia%20bilans%20i%20RSi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zysztof/Documents/SFP/plany%20finansowe%20SFP/biznes%20plany%20SFP%20z%20dok&#322;anie%20wyliczonymi%20po&#380;yczkami%20wersja%20rewitalizacja%20i%20nowe%20projekty%20unij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s"/>
      <sheetName val="RWKA"/>
      <sheetName val="RWPO"/>
      <sheetName val="RPKA"/>
      <sheetName val="RPPO"/>
      <sheetName val="Wskaźniki KA"/>
      <sheetName val="Wskaźniki PO"/>
      <sheetName val="Arkusz1"/>
      <sheetName val="Modu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Bilans</v>
          </cell>
          <cell r="K1" t="str">
            <v>Rachunek przepływów</v>
          </cell>
        </row>
        <row r="2">
          <cell r="H2" t="str">
            <v xml:space="preserve"> - wariant porównawczy -</v>
          </cell>
        </row>
        <row r="4">
          <cell r="B4" t="str">
            <v>TREŚĆ</v>
          </cell>
          <cell r="K4" t="str">
            <v>Wyszczególnienie</v>
          </cell>
        </row>
        <row r="5">
          <cell r="K5" t="str">
            <v>Działalność Operacyjna</v>
          </cell>
        </row>
        <row r="6">
          <cell r="B6" t="str">
            <v>AKTYWA TRWAŁE</v>
          </cell>
          <cell r="K6" t="str">
            <v>Przychody ze sprzedaży produktów,  towarów i materiałów</v>
          </cell>
        </row>
        <row r="8">
          <cell r="H8" t="str">
            <v xml:space="preserve"> - od jednostek powiązanych</v>
          </cell>
          <cell r="K8" t="str">
            <v>Zyski nadzwyczajne</v>
          </cell>
        </row>
        <row r="9">
          <cell r="K9" t="str">
            <v xml:space="preserve">Koszty działalności operacyjnej (bez amortyzacji) </v>
          </cell>
        </row>
        <row r="10">
          <cell r="H10" t="str">
            <v>Zmiana stanu produktów (zwiększenie wartość dodatnia, zmniejszenie wartość ujemna)</v>
          </cell>
        </row>
        <row r="11">
          <cell r="H11" t="str">
            <v xml:space="preserve">Koszt wytworzenia produktów na własne potrzeby jednostki </v>
          </cell>
        </row>
        <row r="12">
          <cell r="K12" t="str">
            <v>Wzrost(-) lub spadek (+) stanu należności</v>
          </cell>
        </row>
        <row r="13">
          <cell r="B13" t="str">
            <v>Środki trwałe</v>
          </cell>
          <cell r="K13" t="str">
            <v>Wzrost (+) lub spadek (-) stanu rezerw</v>
          </cell>
        </row>
        <row r="14">
          <cell r="B14" t="str">
            <v>grunty (w tym prawo użytkowania wieczystego gruntu)</v>
          </cell>
          <cell r="K14" t="str">
            <v>Wzrost (+) lub spadek (-) stanu RMB</v>
          </cell>
        </row>
        <row r="15">
          <cell r="B15" t="str">
            <v xml:space="preserve">budynki, lokale i obiekty inżynierii lądowej i wodnej </v>
          </cell>
          <cell r="H15" t="str">
            <v>Zużycie materiałów i energii</v>
          </cell>
          <cell r="K15" t="str">
            <v>Wzrost (-) lub spadek (+) stanu zapasów</v>
          </cell>
        </row>
        <row r="16">
          <cell r="B16" t="str">
            <v xml:space="preserve">urządzenia  techniczne i maszyny </v>
          </cell>
          <cell r="H16" t="str">
            <v>Usługi obce</v>
          </cell>
          <cell r="K16" t="str">
            <v>Wzrost (+) lub spadek (-) stanu zobowiązań krótkoterm.</v>
          </cell>
        </row>
        <row r="17">
          <cell r="B17" t="str">
            <v>środki transportu</v>
          </cell>
          <cell r="H17" t="str">
            <v>Podatki i opłaty, w tym</v>
          </cell>
          <cell r="K17" t="str">
            <v>Wzrost (-) lub spadek (+) stanu RMC</v>
          </cell>
        </row>
        <row r="18">
          <cell r="B18" t="str">
            <v>inne środki trwałe</v>
          </cell>
          <cell r="H18" t="str">
            <v xml:space="preserve"> - podatek akcyzowy</v>
          </cell>
          <cell r="K18" t="str">
            <v>Wynik na sprzedaży niefinansowych aktywów trwałych (+,-)</v>
          </cell>
        </row>
        <row r="19">
          <cell r="K19" t="str">
            <v>Podatek dochodowy (-)</v>
          </cell>
        </row>
        <row r="20">
          <cell r="H20" t="str">
            <v>Ubezpieczenia społeczne i inne świadczenia</v>
          </cell>
          <cell r="K20" t="str">
            <v>Inne</v>
          </cell>
        </row>
        <row r="21">
          <cell r="H21" t="str">
            <v>Pozostałe koszty rodzajowe</v>
          </cell>
          <cell r="K21" t="str">
            <v>Przepływy działalności operacyjnej (I-II)</v>
          </cell>
        </row>
        <row r="22">
          <cell r="K22" t="str">
            <v>Działalność Finansowa</v>
          </cell>
        </row>
        <row r="23">
          <cell r="H23" t="str">
            <v>Zysk (strata) ze sprzedaży (A-B)</v>
          </cell>
          <cell r="K23" t="str">
            <v>Przychody finansowe</v>
          </cell>
        </row>
        <row r="24">
          <cell r="H24" t="str">
            <v>Pozostałe przychody operacyjne</v>
          </cell>
          <cell r="K24" t="str">
            <v>Koszty  finansowe</v>
          </cell>
        </row>
        <row r="25">
          <cell r="K25" t="str">
            <v>Wynik na sprzedaży i aktualizacji wartości inwestycji (+,-)</v>
          </cell>
        </row>
        <row r="26">
          <cell r="H26" t="str">
            <v>Dotacje</v>
          </cell>
        </row>
        <row r="27">
          <cell r="H27" t="str">
            <v>Inne przychody operacyjne</v>
          </cell>
          <cell r="K27" t="str">
            <v>Zaciągnięcie / spłata długoterminowych zobowiązań</v>
          </cell>
        </row>
        <row r="28">
          <cell r="H28" t="str">
            <v>Pozostałe koszty operacyjne</v>
          </cell>
          <cell r="K28" t="str">
            <v>Zaciągnięcie / spłata kredytów  i pożyczek krótkoterminowych</v>
          </cell>
        </row>
        <row r="29">
          <cell r="H29" t="str">
            <v>Strata ze zbycia niefinansowych aktywów trwałych</v>
          </cell>
          <cell r="K29" t="str">
            <v>Zaciągnięcie / spłata kredytów i pożyczek długoterminowych</v>
          </cell>
        </row>
        <row r="31">
          <cell r="H31" t="str">
            <v>Inne koszty operacyjne</v>
          </cell>
        </row>
        <row r="32">
          <cell r="H32" t="str">
            <v>Zysk (strata) z działalności operacyjnej (C+D-E)</v>
          </cell>
          <cell r="K32" t="str">
            <v>Inne wypłaty z zysku netto</v>
          </cell>
        </row>
        <row r="33">
          <cell r="H33" t="str">
            <v xml:space="preserve">Przychody finansowe </v>
          </cell>
        </row>
        <row r="34">
          <cell r="H34" t="str">
            <v xml:space="preserve">Dywidendy i udziały w zyskach, w tym: </v>
          </cell>
          <cell r="K34" t="str">
            <v>Przepływy z działalności finansowej</v>
          </cell>
        </row>
        <row r="35">
          <cell r="H35" t="str">
            <v xml:space="preserve"> - od jednostek powiązanych</v>
          </cell>
          <cell r="K35" t="str">
            <v>Działalność Inwestycyjna</v>
          </cell>
        </row>
        <row r="36">
          <cell r="H36" t="str">
            <v>Odsetki, w tym:</v>
          </cell>
        </row>
        <row r="37">
          <cell r="H37" t="str">
            <v xml:space="preserve"> - od jednostek  powiązanych</v>
          </cell>
        </row>
        <row r="38">
          <cell r="H38" t="str">
            <v>Zysk ze zbycia inwestycji</v>
          </cell>
        </row>
        <row r="39">
          <cell r="H39" t="str">
            <v>Aktualizacja wartości inwestycji</v>
          </cell>
          <cell r="K39" t="str">
            <v xml:space="preserve">Inne zmiany  aktywów trwałych </v>
          </cell>
        </row>
        <row r="40">
          <cell r="H40" t="str">
            <v>Inne</v>
          </cell>
          <cell r="K40" t="str">
            <v>Dywidendy i udziały w zyskach</v>
          </cell>
        </row>
        <row r="41">
          <cell r="K41" t="str">
            <v>Inne</v>
          </cell>
        </row>
        <row r="42">
          <cell r="B42" t="str">
            <v>AKTYWA OBROTOWE</v>
          </cell>
          <cell r="H42" t="str">
            <v>Odsetki, w tym:</v>
          </cell>
          <cell r="K42" t="str">
            <v>Przepływy z działalności inwestycyjnej</v>
          </cell>
        </row>
        <row r="43">
          <cell r="H43" t="str">
            <v xml:space="preserve"> - od jednostek powiązanych</v>
          </cell>
          <cell r="K43" t="str">
            <v>Przepływy pieniężne ogółem (A+B+C)</v>
          </cell>
        </row>
        <row r="44">
          <cell r="H44" t="str">
            <v>Strata ze zbycia inwestycji</v>
          </cell>
          <cell r="K44" t="str">
            <v>Środki pieniężne na początek okresu</v>
          </cell>
        </row>
        <row r="45">
          <cell r="H45" t="str">
            <v>Aktualizacja wartości inwestycji</v>
          </cell>
          <cell r="K45" t="str">
            <v>Środki pieniężne na koniec okresu</v>
          </cell>
        </row>
        <row r="47">
          <cell r="H47" t="str">
            <v>Zysk (strata) z działalności gospodarczej (F+G-H)</v>
          </cell>
        </row>
        <row r="48">
          <cell r="H48" t="str">
            <v>Wynik zdarzeń nadzwyczajnych (J.I.-J.II.)</v>
          </cell>
        </row>
        <row r="49">
          <cell r="H49" t="str">
            <v>Zyski nadzwyczajne</v>
          </cell>
        </row>
        <row r="51">
          <cell r="H51" t="str">
            <v>Zysk (strata) brutto (I+/- J)</v>
          </cell>
        </row>
        <row r="52">
          <cell r="H52" t="str">
            <v>Podatek dochodowy</v>
          </cell>
        </row>
        <row r="53">
          <cell r="H53" t="str">
            <v>Pozostałe obowiązkowe zmniejszenia zysku (zwiększenia straty)</v>
          </cell>
        </row>
        <row r="54">
          <cell r="H54" t="str">
            <v>Zysk (strata) netto (K-L-M)</v>
          </cell>
        </row>
        <row r="80">
          <cell r="B80" t="str">
            <v>SUMA AKTYWÓW</v>
          </cell>
        </row>
        <row r="84">
          <cell r="B84" t="str">
            <v>TREŚĆ</v>
          </cell>
        </row>
        <row r="119">
          <cell r="B119" t="str">
            <v>Wobec pozostałych jednostek</v>
          </cell>
        </row>
        <row r="137">
          <cell r="B137" t="str">
            <v>SUMA PASYWÓW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łużony kredyt od BOŚ"/>
      <sheetName val="Arkusz1"/>
      <sheetName val="wskaźniki 1999-2000"/>
      <sheetName val="wynagrodzenia"/>
      <sheetName val="nakłady inwestycyjne"/>
      <sheetName val="PARAMETRY REGULOWANE"/>
      <sheetName val="dane do RZiS 1 rok"/>
      <sheetName val="odsetki i kapitał dla nowych "/>
      <sheetName val="plan sprzedaży dla  wspólnot"/>
      <sheetName val="plan finansowania wspólnot"/>
      <sheetName val="planowane przychody i kapitał"/>
      <sheetName val="Arkusz4"/>
      <sheetName val="odsetki i kapitał dla JEREMI 16"/>
      <sheetName val="plan RZiS kasowo"/>
      <sheetName val="Przychody i koszty operacyjne"/>
      <sheetName val=" RZiS "/>
      <sheetName val="RZiS szczegółowy"/>
      <sheetName val="przepływy "/>
      <sheetName val="PRZEPŁYWY szczegółowe"/>
      <sheetName val="BILANS szczegółowy"/>
      <sheetName val="założenia do prognozy"/>
      <sheetName val="wartość firmy DCF"/>
      <sheetName val="Ocena efektywności inwestycji"/>
      <sheetName val=" bilans "/>
      <sheetName val="przepływy bezpośrednie brutto"/>
      <sheetName val="stawki amortyzacyjne"/>
      <sheetName val="dane substratów"/>
      <sheetName val="KREDYT O RÓWNYCH RATACH"/>
      <sheetName val=" wskaźniki prognozy"/>
      <sheetName val="podział gotowki"/>
      <sheetName val="podział kosztów"/>
      <sheetName val="RZiS plan 2 rok"/>
      <sheetName val="RZiS 1 rok rzeczywistość"/>
      <sheetName val="Arkusz3"/>
      <sheetName val="Arkusz2"/>
      <sheetName val="nadwyż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6">
          <cell r="H36">
            <v>20.49542499979</v>
          </cell>
        </row>
      </sheetData>
      <sheetData sheetId="11"/>
      <sheetData sheetId="12"/>
      <sheetData sheetId="13"/>
      <sheetData sheetId="14"/>
      <sheetData sheetId="15">
        <row r="26">
          <cell r="F26">
            <v>27.306052053207534</v>
          </cell>
        </row>
      </sheetData>
      <sheetData sheetId="16">
        <row r="8">
          <cell r="G8">
            <v>78</v>
          </cell>
        </row>
      </sheetData>
      <sheetData sheetId="17"/>
      <sheetData sheetId="18">
        <row r="30">
          <cell r="G30">
            <v>6000</v>
          </cell>
        </row>
      </sheetData>
      <sheetData sheetId="19">
        <row r="5">
          <cell r="D5">
            <v>14680.54391482037</v>
          </cell>
          <cell r="E5">
            <v>46609.001020349657</v>
          </cell>
          <cell r="F5">
            <v>74350.204248007751</v>
          </cell>
          <cell r="G5">
            <v>78226.712741037642</v>
          </cell>
          <cell r="H5">
            <v>70914.146999185075</v>
          </cell>
          <cell r="I5">
            <v>62903.475225846829</v>
          </cell>
          <cell r="J5">
            <v>55877.395732916433</v>
          </cell>
          <cell r="K5">
            <v>49493.10441707736</v>
          </cell>
          <cell r="L5">
            <v>43363.813101238287</v>
          </cell>
          <cell r="M5">
            <v>43363.813101238287</v>
          </cell>
        </row>
        <row r="41">
          <cell r="D41">
            <v>24277.302309109396</v>
          </cell>
          <cell r="E41">
            <v>17948.013422971351</v>
          </cell>
          <cell r="F41">
            <v>13579.794621688761</v>
          </cell>
          <cell r="G41">
            <v>12635.005058602132</v>
          </cell>
          <cell r="H41">
            <v>14385.774516180674</v>
          </cell>
          <cell r="I41">
            <v>16625.467094868469</v>
          </cell>
          <cell r="J41">
            <v>18539.159108972879</v>
          </cell>
          <cell r="K41">
            <v>20321.81407067395</v>
          </cell>
          <cell r="L41">
            <v>21972.539935991095</v>
          </cell>
          <cell r="M41">
            <v>20929.581210457414</v>
          </cell>
        </row>
        <row r="83">
          <cell r="D83">
            <v>18068.496555179765</v>
          </cell>
          <cell r="E83">
            <v>24614.291273106031</v>
          </cell>
          <cell r="F83">
            <v>29284.586729848292</v>
          </cell>
          <cell r="G83">
            <v>29861.140836756978</v>
          </cell>
          <cell r="H83">
            <v>30339.064522512333</v>
          </cell>
          <cell r="I83">
            <v>30695.218517652091</v>
          </cell>
          <cell r="J83">
            <v>30829.06505594559</v>
          </cell>
          <cell r="K83">
            <v>30809.449024162273</v>
          </cell>
          <cell r="L83">
            <v>30667.903895995041</v>
          </cell>
          <cell r="M83">
            <v>29624.945170461357</v>
          </cell>
        </row>
        <row r="93">
          <cell r="D93">
            <v>20889.349638749998</v>
          </cell>
          <cell r="E93">
            <v>39942.723140214977</v>
          </cell>
          <cell r="F93">
            <v>58645.412109848214</v>
          </cell>
          <cell r="G93">
            <v>61000.576932882788</v>
          </cell>
          <cell r="H93">
            <v>54960.856962853417</v>
          </cell>
          <cell r="I93">
            <v>48833.723773063204</v>
          </cell>
          <cell r="J93">
            <v>43587.489755943709</v>
          </cell>
          <cell r="K93">
            <v>39005.469433589024</v>
          </cell>
          <cell r="L93">
            <v>34668.449111234338</v>
          </cell>
          <cell r="M93">
            <v>35920.449111234338</v>
          </cell>
        </row>
        <row r="102">
          <cell r="D102">
            <v>13009.305408749999</v>
          </cell>
          <cell r="E102">
            <v>32062.678910214971</v>
          </cell>
          <cell r="F102">
            <v>50765.367879848214</v>
          </cell>
          <cell r="G102">
            <v>53120.532702882789</v>
          </cell>
          <cell r="H102">
            <v>47080.81273285341</v>
          </cell>
          <cell r="I102">
            <v>40953.679543063197</v>
          </cell>
          <cell r="J102">
            <v>35707.445525943709</v>
          </cell>
          <cell r="K102">
            <v>31125.425203589024</v>
          </cell>
          <cell r="L102">
            <v>26788.404881234339</v>
          </cell>
          <cell r="M102">
            <v>26788.404881234339</v>
          </cell>
        </row>
      </sheetData>
      <sheetData sheetId="20">
        <row r="9">
          <cell r="U9">
            <v>0</v>
          </cell>
        </row>
      </sheetData>
      <sheetData sheetId="21"/>
      <sheetData sheetId="22"/>
      <sheetData sheetId="23">
        <row r="4">
          <cell r="E4">
            <v>13.142518200000001</v>
          </cell>
          <cell r="F4">
            <v>11.275786400000001</v>
          </cell>
          <cell r="G4">
            <v>9.409054600000001</v>
          </cell>
          <cell r="H4">
            <v>8.6510777999999995</v>
          </cell>
          <cell r="I4">
            <v>7.8931010000000006</v>
          </cell>
          <cell r="J4">
            <v>7.1351241999999999</v>
          </cell>
          <cell r="K4">
            <v>6.3771474000000001</v>
          </cell>
          <cell r="L4">
            <v>6.3771474000000001</v>
          </cell>
          <cell r="M4">
            <v>6.3771474000000001</v>
          </cell>
        </row>
        <row r="11">
          <cell r="E11">
            <v>24414.069965729766</v>
          </cell>
          <cell r="F11">
            <v>50015.104916921002</v>
          </cell>
          <cell r="G11">
            <v>73389.956075096503</v>
          </cell>
          <cell r="H11">
            <v>76322.432981839767</v>
          </cell>
          <cell r="I11">
            <v>70761.394674365743</v>
          </cell>
          <cell r="J11">
            <v>64991.173456515287</v>
          </cell>
          <cell r="K11">
            <v>59879.543954489302</v>
          </cell>
          <cell r="L11">
            <v>55277.907600351296</v>
          </cell>
        </row>
        <row r="22">
          <cell r="E22">
            <v>24427.212483929765</v>
          </cell>
          <cell r="F22">
            <v>50026.380703321003</v>
          </cell>
          <cell r="G22">
            <v>73399.365129696496</v>
          </cell>
          <cell r="H22">
            <v>76331.084059639761</v>
          </cell>
          <cell r="I22">
            <v>70769.287775365738</v>
          </cell>
          <cell r="J22">
            <v>64998.308580715289</v>
          </cell>
          <cell r="K22">
            <v>59885.921101889304</v>
          </cell>
          <cell r="L22">
            <v>55284.284747751299</v>
          </cell>
        </row>
        <row r="24">
          <cell r="E24">
            <v>18068.496555179765</v>
          </cell>
          <cell r="F24">
            <v>24614.291273106031</v>
          </cell>
          <cell r="G24">
            <v>29284.586729848292</v>
          </cell>
          <cell r="H24">
            <v>29861.140836756978</v>
          </cell>
          <cell r="I24">
            <v>30339.064522512333</v>
          </cell>
          <cell r="J24">
            <v>30695.218517652091</v>
          </cell>
          <cell r="K24">
            <v>30829.06505594559</v>
          </cell>
          <cell r="L24">
            <v>30809.449024162273</v>
          </cell>
          <cell r="M24">
            <v>30667.903895995041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EC12A-00E7-4CC0-A8E7-0C3632F6E1FC}">
  <dimension ref="A2:K85"/>
  <sheetViews>
    <sheetView showGridLines="0" tabSelected="1" view="pageBreakPreview" zoomScaleNormal="100" zoomScaleSheetLayoutView="100" workbookViewId="0">
      <selection activeCell="B22" sqref="B22"/>
    </sheetView>
  </sheetViews>
  <sheetFormatPr defaultRowHeight="15" x14ac:dyDescent="0.25"/>
  <cols>
    <col min="1" max="1" width="86" customWidth="1"/>
    <col min="2" max="2" width="12.5703125" customWidth="1"/>
    <col min="3" max="3" width="13.140625" customWidth="1"/>
    <col min="4" max="4" width="12.28515625" customWidth="1"/>
    <col min="5" max="5" width="13.140625" customWidth="1"/>
  </cols>
  <sheetData>
    <row r="2" spans="1:8" ht="18.75" x14ac:dyDescent="0.25">
      <c r="A2" s="768" t="s">
        <v>451</v>
      </c>
      <c r="B2" s="768"/>
      <c r="C2" s="768"/>
      <c r="D2" s="768"/>
      <c r="E2" s="768"/>
      <c r="F2" s="618"/>
      <c r="G2" s="618"/>
      <c r="H2" s="618"/>
    </row>
    <row r="3" spans="1:8" ht="18.75" x14ac:dyDescent="0.25">
      <c r="A3" s="768" t="s">
        <v>452</v>
      </c>
      <c r="B3" s="768"/>
      <c r="C3" s="768"/>
      <c r="D3" s="768"/>
      <c r="E3" s="768"/>
      <c r="F3" s="618"/>
      <c r="G3" s="618"/>
      <c r="H3" s="618"/>
    </row>
    <row r="4" spans="1:8" ht="15.75" x14ac:dyDescent="0.25">
      <c r="A4" s="774" t="s">
        <v>461</v>
      </c>
      <c r="B4" s="774"/>
      <c r="C4" s="774"/>
      <c r="D4" s="774"/>
      <c r="E4" s="774"/>
      <c r="F4" s="618"/>
      <c r="G4" s="618"/>
      <c r="H4" s="618"/>
    </row>
    <row r="5" spans="1:8" ht="15.75" x14ac:dyDescent="0.25">
      <c r="A5" s="616"/>
      <c r="B5" s="616"/>
      <c r="C5" s="616"/>
      <c r="D5" s="616"/>
      <c r="E5" s="616"/>
      <c r="F5" s="618"/>
      <c r="G5" s="618"/>
      <c r="H5" s="618"/>
    </row>
    <row r="6" spans="1:8" ht="18.75" x14ac:dyDescent="0.25">
      <c r="A6" s="768" t="s">
        <v>453</v>
      </c>
      <c r="B6" s="768"/>
      <c r="C6" s="768"/>
      <c r="D6" s="768"/>
      <c r="E6" s="768"/>
      <c r="F6" s="618"/>
      <c r="G6" s="618"/>
      <c r="H6" s="618"/>
    </row>
    <row r="7" spans="1:8" hidden="1" x14ac:dyDescent="0.25">
      <c r="B7" s="618"/>
      <c r="C7" s="618"/>
      <c r="D7" s="618"/>
      <c r="E7" s="618"/>
      <c r="F7" s="618"/>
      <c r="G7" s="618"/>
      <c r="H7" s="618"/>
    </row>
    <row r="8" spans="1:8" ht="27" hidden="1" customHeight="1" x14ac:dyDescent="0.25">
      <c r="A8" s="666"/>
      <c r="B8" s="617"/>
      <c r="C8" s="617"/>
      <c r="D8" s="617"/>
      <c r="E8" s="617"/>
      <c r="F8" s="618"/>
      <c r="G8" s="618"/>
      <c r="H8" s="618"/>
    </row>
    <row r="9" spans="1:8" hidden="1" x14ac:dyDescent="0.25">
      <c r="A9" s="619"/>
      <c r="B9" s="618"/>
      <c r="C9" s="618"/>
      <c r="D9" s="618"/>
      <c r="E9" s="618"/>
      <c r="F9" s="618"/>
      <c r="G9" s="618"/>
      <c r="H9" s="618"/>
    </row>
    <row r="10" spans="1:8" ht="30.75" customHeight="1" x14ac:dyDescent="0.25">
      <c r="A10" s="640" t="s">
        <v>492</v>
      </c>
      <c r="B10" s="618"/>
      <c r="C10" s="618"/>
      <c r="D10" s="618"/>
      <c r="E10" s="618"/>
      <c r="F10" s="618"/>
      <c r="G10" s="618"/>
      <c r="H10" s="618"/>
    </row>
    <row r="11" spans="1:8" ht="30" customHeight="1" x14ac:dyDescent="0.25">
      <c r="A11" s="773" t="s">
        <v>462</v>
      </c>
      <c r="B11" s="773"/>
      <c r="C11" s="773"/>
      <c r="D11" s="773"/>
      <c r="E11" s="773"/>
      <c r="F11" s="618"/>
      <c r="G11" s="618"/>
      <c r="H11" s="618"/>
    </row>
    <row r="12" spans="1:8" ht="24" customHeight="1" thickBot="1" x14ac:dyDescent="0.3"/>
    <row r="13" spans="1:8" ht="18.75" x14ac:dyDescent="0.25">
      <c r="A13" s="625" t="s">
        <v>467</v>
      </c>
      <c r="B13" s="621" t="s">
        <v>12</v>
      </c>
      <c r="C13" s="622" t="s">
        <v>57</v>
      </c>
      <c r="D13" s="621" t="s">
        <v>448</v>
      </c>
      <c r="E13" s="621" t="s">
        <v>58</v>
      </c>
    </row>
    <row r="14" spans="1:8" ht="15.75" customHeight="1" thickBot="1" x14ac:dyDescent="0.3">
      <c r="A14" s="626" t="s">
        <v>468</v>
      </c>
      <c r="B14" s="678">
        <v>2024</v>
      </c>
      <c r="C14" s="760">
        <f>B14+1</f>
        <v>2025</v>
      </c>
      <c r="D14" s="760">
        <f t="shared" ref="D14:E14" si="0">C14+1</f>
        <v>2026</v>
      </c>
      <c r="E14" s="760">
        <f t="shared" si="0"/>
        <v>2027</v>
      </c>
      <c r="H14" s="630" t="s">
        <v>505</v>
      </c>
    </row>
    <row r="15" spans="1:8" ht="31.5" customHeight="1" thickBot="1" x14ac:dyDescent="0.3">
      <c r="A15" s="611" t="s">
        <v>463</v>
      </c>
      <c r="B15" s="656">
        <f>B16</f>
        <v>0</v>
      </c>
      <c r="C15" s="656">
        <f>C16+C17</f>
        <v>0</v>
      </c>
      <c r="D15" s="656">
        <f t="shared" ref="D15:E15" si="1">D16+D17</f>
        <v>0</v>
      </c>
      <c r="E15" s="656">
        <f t="shared" si="1"/>
        <v>0</v>
      </c>
    </row>
    <row r="16" spans="1:8" ht="22.5" customHeight="1" thickBot="1" x14ac:dyDescent="0.3">
      <c r="A16" s="660" t="s">
        <v>497</v>
      </c>
      <c r="B16" s="641"/>
      <c r="C16" s="641"/>
      <c r="D16" s="641"/>
      <c r="E16" s="641"/>
    </row>
    <row r="17" spans="1:8" ht="21" customHeight="1" thickBot="1" x14ac:dyDescent="0.3">
      <c r="A17" s="661" t="s">
        <v>464</v>
      </c>
      <c r="B17" s="642"/>
      <c r="C17" s="643"/>
      <c r="D17" s="643"/>
      <c r="E17" s="643"/>
      <c r="H17" s="668" t="s">
        <v>502</v>
      </c>
    </row>
    <row r="18" spans="1:8" ht="18.75" customHeight="1" thickBot="1" x14ac:dyDescent="0.3"/>
    <row r="19" spans="1:8" ht="18.75" customHeight="1" x14ac:dyDescent="0.25">
      <c r="A19" s="623" t="s">
        <v>449</v>
      </c>
      <c r="B19" s="621" t="s">
        <v>12</v>
      </c>
      <c r="C19" s="622" t="s">
        <v>57</v>
      </c>
      <c r="D19" s="621" t="s">
        <v>448</v>
      </c>
      <c r="E19" s="621" t="s">
        <v>58</v>
      </c>
    </row>
    <row r="20" spans="1:8" ht="15.75" customHeight="1" thickBot="1" x14ac:dyDescent="0.3">
      <c r="A20" s="624" t="s">
        <v>466</v>
      </c>
      <c r="B20" s="760">
        <f>B14</f>
        <v>2024</v>
      </c>
      <c r="C20" s="760">
        <f>C14</f>
        <v>2025</v>
      </c>
      <c r="D20" s="760">
        <f>D14</f>
        <v>2026</v>
      </c>
      <c r="E20" s="760">
        <f>E14</f>
        <v>2027</v>
      </c>
    </row>
    <row r="21" spans="1:8" ht="30.75" customHeight="1" thickBot="1" x14ac:dyDescent="0.3">
      <c r="A21" s="667" t="s">
        <v>469</v>
      </c>
      <c r="B21" s="657">
        <f>B22</f>
        <v>0</v>
      </c>
      <c r="C21" s="656">
        <f t="shared" ref="C21:E21" si="2">C22+C23</f>
        <v>0</v>
      </c>
      <c r="D21" s="656">
        <f t="shared" si="2"/>
        <v>0</v>
      </c>
      <c r="E21" s="656">
        <f t="shared" si="2"/>
        <v>0</v>
      </c>
    </row>
    <row r="22" spans="1:8" ht="24" customHeight="1" thickBot="1" x14ac:dyDescent="0.3">
      <c r="A22" s="654" t="s">
        <v>498</v>
      </c>
      <c r="B22" s="644"/>
      <c r="C22" s="643"/>
      <c r="D22" s="644"/>
      <c r="E22" s="644"/>
    </row>
    <row r="23" spans="1:8" ht="23.25" customHeight="1" thickBot="1" x14ac:dyDescent="0.3">
      <c r="A23" s="654" t="s">
        <v>470</v>
      </c>
      <c r="B23" s="642"/>
      <c r="C23" s="643"/>
      <c r="D23" s="644"/>
      <c r="E23" s="644"/>
      <c r="H23" s="665" t="s">
        <v>503</v>
      </c>
    </row>
    <row r="24" spans="1:8" ht="15.75" thickBot="1" x14ac:dyDescent="0.3">
      <c r="A24" s="638"/>
      <c r="E24" s="639"/>
    </row>
    <row r="25" spans="1:8" ht="18.75" x14ac:dyDescent="0.25">
      <c r="A25" s="623" t="s">
        <v>471</v>
      </c>
      <c r="B25" s="621" t="s">
        <v>12</v>
      </c>
      <c r="C25" s="622" t="s">
        <v>57</v>
      </c>
      <c r="D25" s="621" t="s">
        <v>448</v>
      </c>
      <c r="E25" s="621" t="s">
        <v>58</v>
      </c>
    </row>
    <row r="26" spans="1:8" ht="15.75" thickBot="1" x14ac:dyDescent="0.3">
      <c r="A26" s="627" t="s">
        <v>472</v>
      </c>
      <c r="B26" s="760">
        <f>B20</f>
        <v>2024</v>
      </c>
      <c r="C26" s="760">
        <f>C20</f>
        <v>2025</v>
      </c>
      <c r="D26" s="760">
        <f>D20</f>
        <v>2026</v>
      </c>
      <c r="E26" s="760">
        <f>E20</f>
        <v>2027</v>
      </c>
    </row>
    <row r="27" spans="1:8" ht="29.25" customHeight="1" thickBot="1" x14ac:dyDescent="0.3">
      <c r="A27" s="662" t="s">
        <v>494</v>
      </c>
      <c r="B27" s="658"/>
      <c r="C27" s="659"/>
      <c r="D27" s="659"/>
      <c r="E27" s="659"/>
    </row>
    <row r="28" spans="1:8" ht="12" customHeight="1" x14ac:dyDescent="0.25">
      <c r="A28" s="613"/>
    </row>
    <row r="29" spans="1:8" ht="12" customHeight="1" x14ac:dyDescent="0.25">
      <c r="A29" s="619" t="s">
        <v>450</v>
      </c>
    </row>
    <row r="30" spans="1:8" ht="90.75" customHeight="1" thickBot="1" x14ac:dyDescent="0.3">
      <c r="A30" s="775" t="s">
        <v>511</v>
      </c>
      <c r="B30" s="775"/>
      <c r="C30" s="775"/>
      <c r="D30" s="775"/>
      <c r="E30" s="775"/>
    </row>
    <row r="31" spans="1:8" ht="409.5" customHeight="1" x14ac:dyDescent="0.25">
      <c r="A31" s="777"/>
      <c r="B31" s="778"/>
      <c r="C31" s="778"/>
      <c r="D31" s="778"/>
      <c r="E31" s="779"/>
    </row>
    <row r="32" spans="1:8" ht="409.5" customHeight="1" thickBot="1" x14ac:dyDescent="0.3">
      <c r="A32" s="780"/>
      <c r="B32" s="781"/>
      <c r="C32" s="781"/>
      <c r="D32" s="781"/>
      <c r="E32" s="782"/>
    </row>
    <row r="33" spans="1:8" ht="30" customHeight="1" x14ac:dyDescent="0.25">
      <c r="A33" s="776" t="s">
        <v>512</v>
      </c>
      <c r="B33" s="776"/>
      <c r="C33" s="776"/>
      <c r="D33" s="776"/>
      <c r="E33" s="776"/>
    </row>
    <row r="34" spans="1:8" ht="39" customHeight="1" thickBot="1" x14ac:dyDescent="0.3">
      <c r="A34" s="796" t="s">
        <v>496</v>
      </c>
      <c r="B34" s="796"/>
      <c r="C34" s="796"/>
      <c r="D34" s="796"/>
      <c r="E34" s="796"/>
    </row>
    <row r="35" spans="1:8" ht="409.5" customHeight="1" x14ac:dyDescent="0.25">
      <c r="A35" s="777"/>
      <c r="B35" s="778"/>
      <c r="C35" s="778"/>
      <c r="D35" s="778"/>
      <c r="E35" s="779"/>
      <c r="H35" s="618"/>
    </row>
    <row r="36" spans="1:8" ht="409.5" customHeight="1" thickBot="1" x14ac:dyDescent="0.3">
      <c r="A36" s="780"/>
      <c r="B36" s="781"/>
      <c r="C36" s="781"/>
      <c r="D36" s="781"/>
      <c r="E36" s="782"/>
    </row>
    <row r="37" spans="1:8" x14ac:dyDescent="0.25">
      <c r="A37" s="615"/>
    </row>
    <row r="38" spans="1:8" ht="15.75" thickBot="1" x14ac:dyDescent="0.3"/>
    <row r="39" spans="1:8" ht="18.75" x14ac:dyDescent="0.25">
      <c r="A39" s="625" t="s">
        <v>474</v>
      </c>
      <c r="B39" s="621" t="s">
        <v>12</v>
      </c>
      <c r="C39" s="621" t="s">
        <v>57</v>
      </c>
      <c r="D39" s="621" t="s">
        <v>448</v>
      </c>
      <c r="E39" s="622" t="s">
        <v>58</v>
      </c>
    </row>
    <row r="40" spans="1:8" ht="11.25" customHeight="1" thickBot="1" x14ac:dyDescent="0.3">
      <c r="A40" s="631"/>
      <c r="B40" s="760">
        <f>B14</f>
        <v>2024</v>
      </c>
      <c r="C40" s="760">
        <f>C14</f>
        <v>2025</v>
      </c>
      <c r="D40" s="760">
        <f>D14</f>
        <v>2026</v>
      </c>
      <c r="E40" s="760">
        <f>E14</f>
        <v>2027</v>
      </c>
    </row>
    <row r="41" spans="1:8" ht="22.5" customHeight="1" thickBot="1" x14ac:dyDescent="0.3">
      <c r="A41" s="626" t="s">
        <v>473</v>
      </c>
      <c r="B41" s="759"/>
      <c r="C41" s="652">
        <f>SUM(C42:C60)</f>
        <v>0</v>
      </c>
      <c r="D41" s="652">
        <f t="shared" ref="D41:E41" si="3">SUM(D42:D60)</f>
        <v>0</v>
      </c>
      <c r="E41" s="652">
        <f t="shared" si="3"/>
        <v>0</v>
      </c>
      <c r="G41" s="630" t="s">
        <v>510</v>
      </c>
    </row>
    <row r="42" spans="1:8" ht="27" customHeight="1" thickBot="1" x14ac:dyDescent="0.3">
      <c r="A42" s="653" t="s">
        <v>489</v>
      </c>
      <c r="B42" s="645"/>
      <c r="C42" s="645"/>
      <c r="D42" s="645"/>
      <c r="E42" s="645"/>
    </row>
    <row r="43" spans="1:8" ht="27" customHeight="1" thickBot="1" x14ac:dyDescent="0.3">
      <c r="A43" s="654" t="s">
        <v>490</v>
      </c>
      <c r="B43" s="646"/>
      <c r="C43" s="647"/>
      <c r="D43" s="647"/>
      <c r="E43" s="647"/>
    </row>
    <row r="44" spans="1:8" ht="27" customHeight="1" thickBot="1" x14ac:dyDescent="0.3">
      <c r="A44" s="655" t="s">
        <v>475</v>
      </c>
      <c r="B44" s="648"/>
      <c r="C44" s="649"/>
      <c r="D44" s="649"/>
      <c r="E44" s="649"/>
    </row>
    <row r="45" spans="1:8" ht="27" customHeight="1" thickBot="1" x14ac:dyDescent="0.3">
      <c r="A45" s="655" t="s">
        <v>454</v>
      </c>
      <c r="B45" s="648"/>
      <c r="C45" s="649"/>
      <c r="D45" s="649"/>
      <c r="E45" s="649"/>
    </row>
    <row r="46" spans="1:8" ht="27" customHeight="1" thickBot="1" x14ac:dyDescent="0.3">
      <c r="A46" s="655" t="s">
        <v>476</v>
      </c>
      <c r="B46" s="648"/>
      <c r="C46" s="649"/>
      <c r="D46" s="649"/>
      <c r="E46" s="649"/>
    </row>
    <row r="47" spans="1:8" ht="27" customHeight="1" thickBot="1" x14ac:dyDescent="0.3">
      <c r="A47" s="655" t="s">
        <v>455</v>
      </c>
      <c r="B47" s="648"/>
      <c r="C47" s="649"/>
      <c r="D47" s="649"/>
      <c r="E47" s="649"/>
    </row>
    <row r="48" spans="1:8" ht="27" customHeight="1" thickBot="1" x14ac:dyDescent="0.3">
      <c r="A48" s="655" t="s">
        <v>456</v>
      </c>
      <c r="B48" s="648"/>
      <c r="C48" s="649"/>
      <c r="D48" s="649"/>
      <c r="E48" s="649"/>
    </row>
    <row r="49" spans="1:5" ht="27" customHeight="1" thickBot="1" x14ac:dyDescent="0.3">
      <c r="A49" s="655" t="s">
        <v>477</v>
      </c>
      <c r="B49" s="648"/>
      <c r="C49" s="649"/>
      <c r="D49" s="649"/>
      <c r="E49" s="649"/>
    </row>
    <row r="50" spans="1:5" ht="27" customHeight="1" thickBot="1" x14ac:dyDescent="0.3">
      <c r="A50" s="655" t="s">
        <v>478</v>
      </c>
      <c r="B50" s="648"/>
      <c r="C50" s="649"/>
      <c r="D50" s="649"/>
      <c r="E50" s="649"/>
    </row>
    <row r="51" spans="1:5" ht="27" customHeight="1" thickBot="1" x14ac:dyDescent="0.3">
      <c r="A51" s="655" t="s">
        <v>479</v>
      </c>
      <c r="B51" s="648"/>
      <c r="C51" s="649"/>
      <c r="D51" s="649"/>
      <c r="E51" s="649"/>
    </row>
    <row r="52" spans="1:5" ht="27" customHeight="1" thickBot="1" x14ac:dyDescent="0.3">
      <c r="A52" s="655" t="s">
        <v>480</v>
      </c>
      <c r="B52" s="648"/>
      <c r="C52" s="649"/>
      <c r="D52" s="649"/>
      <c r="E52" s="649"/>
    </row>
    <row r="53" spans="1:5" ht="27" customHeight="1" thickBot="1" x14ac:dyDescent="0.3">
      <c r="A53" s="655" t="s">
        <v>442</v>
      </c>
      <c r="B53" s="648"/>
      <c r="C53" s="649"/>
      <c r="D53" s="649"/>
      <c r="E53" s="649"/>
    </row>
    <row r="54" spans="1:5" ht="27" customHeight="1" thickBot="1" x14ac:dyDescent="0.3">
      <c r="A54" s="655" t="s">
        <v>481</v>
      </c>
      <c r="B54" s="648"/>
      <c r="C54" s="649"/>
      <c r="D54" s="649"/>
      <c r="E54" s="649"/>
    </row>
    <row r="55" spans="1:5" ht="27" customHeight="1" thickBot="1" x14ac:dyDescent="0.3">
      <c r="A55" s="655" t="s">
        <v>482</v>
      </c>
      <c r="B55" s="648"/>
      <c r="C55" s="649"/>
      <c r="D55" s="649"/>
      <c r="E55" s="649"/>
    </row>
    <row r="56" spans="1:5" ht="27" customHeight="1" thickBot="1" x14ac:dyDescent="0.3">
      <c r="A56" s="655" t="s">
        <v>483</v>
      </c>
      <c r="B56" s="648"/>
      <c r="C56" s="649"/>
      <c r="D56" s="649"/>
      <c r="E56" s="649"/>
    </row>
    <row r="57" spans="1:5" ht="27" customHeight="1" thickBot="1" x14ac:dyDescent="0.3">
      <c r="A57" s="655" t="s">
        <v>484</v>
      </c>
      <c r="B57" s="648"/>
      <c r="C57" s="649"/>
      <c r="D57" s="649"/>
      <c r="E57" s="649"/>
    </row>
    <row r="58" spans="1:5" ht="27" customHeight="1" thickBot="1" x14ac:dyDescent="0.3">
      <c r="A58" s="653" t="s">
        <v>485</v>
      </c>
      <c r="B58" s="648"/>
      <c r="C58" s="650"/>
      <c r="D58" s="650"/>
      <c r="E58" s="649"/>
    </row>
    <row r="59" spans="1:5" ht="27" customHeight="1" thickBot="1" x14ac:dyDescent="0.3">
      <c r="A59" s="655" t="s">
        <v>421</v>
      </c>
      <c r="B59" s="651"/>
      <c r="C59" s="649"/>
      <c r="D59" s="649"/>
      <c r="E59" s="649"/>
    </row>
    <row r="60" spans="1:5" ht="27" customHeight="1" thickBot="1" x14ac:dyDescent="0.3">
      <c r="A60" s="655" t="s">
        <v>443</v>
      </c>
      <c r="B60" s="651"/>
      <c r="C60" s="649"/>
      <c r="D60" s="649"/>
      <c r="E60" s="649"/>
    </row>
    <row r="61" spans="1:5" ht="15.75" customHeight="1" x14ac:dyDescent="0.25">
      <c r="A61" s="625" t="s">
        <v>486</v>
      </c>
      <c r="B61" s="769"/>
      <c r="C61" s="771"/>
      <c r="D61" s="771"/>
      <c r="E61" s="771"/>
    </row>
    <row r="62" spans="1:5" ht="15.75" customHeight="1" thickBot="1" x14ac:dyDescent="0.3">
      <c r="A62" s="626" t="s">
        <v>487</v>
      </c>
      <c r="B62" s="770"/>
      <c r="C62" s="772"/>
      <c r="D62" s="772"/>
      <c r="E62" s="772"/>
    </row>
    <row r="63" spans="1:5" ht="15.75" customHeight="1" x14ac:dyDescent="0.25">
      <c r="A63" s="629"/>
      <c r="B63" s="628"/>
      <c r="C63" s="628"/>
      <c r="D63" s="628"/>
      <c r="E63" s="628"/>
    </row>
    <row r="64" spans="1:5" x14ac:dyDescent="0.25">
      <c r="A64" s="629"/>
      <c r="B64" s="628"/>
      <c r="C64" s="628"/>
      <c r="D64" s="628"/>
      <c r="E64" s="628"/>
    </row>
    <row r="65" spans="1:11" x14ac:dyDescent="0.25">
      <c r="A65" s="629"/>
      <c r="B65" s="628"/>
      <c r="C65" s="628"/>
      <c r="D65" s="628"/>
      <c r="E65" s="628"/>
    </row>
    <row r="66" spans="1:11" ht="15.75" customHeight="1" x14ac:dyDescent="0.25">
      <c r="A66" s="613"/>
    </row>
    <row r="67" spans="1:11" ht="79.5" customHeight="1" x14ac:dyDescent="0.25">
      <c r="A67" s="797" t="s">
        <v>493</v>
      </c>
      <c r="B67" s="797"/>
      <c r="C67" s="797"/>
      <c r="D67" s="797"/>
      <c r="E67" s="797"/>
    </row>
    <row r="68" spans="1:11" ht="48.75" customHeight="1" thickBot="1" x14ac:dyDescent="0.3">
      <c r="A68" s="798" t="s">
        <v>457</v>
      </c>
      <c r="B68" s="798"/>
      <c r="C68" s="798"/>
      <c r="D68" s="798"/>
      <c r="E68" s="798"/>
    </row>
    <row r="69" spans="1:11" ht="42.75" customHeight="1" x14ac:dyDescent="0.25">
      <c r="A69" s="785" t="s">
        <v>458</v>
      </c>
      <c r="B69" s="787" t="s">
        <v>459</v>
      </c>
      <c r="C69" s="788"/>
      <c r="D69" s="799" t="s">
        <v>504</v>
      </c>
      <c r="E69" s="800"/>
    </row>
    <row r="70" spans="1:11" ht="18" customHeight="1" thickBot="1" x14ac:dyDescent="0.3">
      <c r="A70" s="786"/>
      <c r="B70" s="789">
        <f>B14</f>
        <v>2024</v>
      </c>
      <c r="C70" s="790"/>
      <c r="D70" s="676">
        <f>B70+1</f>
        <v>2025</v>
      </c>
      <c r="E70" s="677"/>
    </row>
    <row r="71" spans="1:11" ht="26.25" customHeight="1" thickBot="1" x14ac:dyDescent="0.3">
      <c r="A71" s="653" t="s">
        <v>282</v>
      </c>
      <c r="B71" s="791"/>
      <c r="C71" s="792"/>
      <c r="D71" s="791"/>
      <c r="E71" s="792"/>
      <c r="G71" s="630" t="s">
        <v>510</v>
      </c>
      <c r="K71" s="663"/>
    </row>
    <row r="72" spans="1:11" ht="26.25" customHeight="1" thickBot="1" x14ac:dyDescent="0.3">
      <c r="A72" s="653" t="s">
        <v>4</v>
      </c>
      <c r="B72" s="791"/>
      <c r="C72" s="792"/>
      <c r="D72" s="791"/>
      <c r="E72" s="792"/>
    </row>
    <row r="73" spans="1:11" ht="26.25" customHeight="1" thickBot="1" x14ac:dyDescent="0.3">
      <c r="A73" s="653" t="s">
        <v>7</v>
      </c>
      <c r="B73" s="791"/>
      <c r="C73" s="792"/>
      <c r="D73" s="791"/>
      <c r="E73" s="792"/>
    </row>
    <row r="74" spans="1:11" ht="26.25" customHeight="1" thickBot="1" x14ac:dyDescent="0.3">
      <c r="A74" s="653" t="s">
        <v>8</v>
      </c>
      <c r="B74" s="791"/>
      <c r="C74" s="792"/>
      <c r="D74" s="791"/>
      <c r="E74" s="792"/>
    </row>
    <row r="75" spans="1:11" ht="26.25" customHeight="1" thickBot="1" x14ac:dyDescent="0.3">
      <c r="A75" s="653" t="s">
        <v>9</v>
      </c>
      <c r="B75" s="791"/>
      <c r="C75" s="792"/>
      <c r="D75" s="791"/>
      <c r="E75" s="792"/>
    </row>
    <row r="76" spans="1:11" ht="26.25" customHeight="1" thickBot="1" x14ac:dyDescent="0.3">
      <c r="A76" s="653" t="s">
        <v>10</v>
      </c>
      <c r="B76" s="791"/>
      <c r="C76" s="792"/>
      <c r="D76" s="791"/>
      <c r="E76" s="792"/>
    </row>
    <row r="77" spans="1:11" ht="33" customHeight="1" thickBot="1" x14ac:dyDescent="0.3">
      <c r="A77" s="664" t="s">
        <v>495</v>
      </c>
      <c r="B77" s="793">
        <f>B71+B72+B73+B74+B75+B76</f>
        <v>0</v>
      </c>
      <c r="C77" s="794"/>
      <c r="D77" s="793">
        <f>D71+D72+D73+D74+D75+D76</f>
        <v>0</v>
      </c>
      <c r="E77" s="794"/>
    </row>
    <row r="78" spans="1:11" x14ac:dyDescent="0.25">
      <c r="A78" s="617"/>
    </row>
    <row r="79" spans="1:11" x14ac:dyDescent="0.25">
      <c r="A79" s="795"/>
      <c r="B79" s="795"/>
      <c r="C79" s="795"/>
      <c r="D79" s="795"/>
      <c r="E79" s="795"/>
    </row>
    <row r="80" spans="1:11" ht="15.75" x14ac:dyDescent="0.25">
      <c r="A80" s="612"/>
    </row>
    <row r="81" spans="1:5" ht="60" customHeight="1" x14ac:dyDescent="0.25">
      <c r="A81" s="620"/>
      <c r="B81" s="614"/>
    </row>
    <row r="82" spans="1:5" ht="14.25" customHeight="1" x14ac:dyDescent="0.25">
      <c r="A82" s="614" t="s">
        <v>500</v>
      </c>
      <c r="B82" s="614" t="s">
        <v>499</v>
      </c>
    </row>
    <row r="83" spans="1:5" x14ac:dyDescent="0.25">
      <c r="A83" s="614"/>
    </row>
    <row r="84" spans="1:5" ht="25.5" customHeight="1" x14ac:dyDescent="0.25">
      <c r="A84" s="783" t="s">
        <v>460</v>
      </c>
      <c r="B84" s="783"/>
      <c r="C84" s="783"/>
      <c r="D84" s="783"/>
      <c r="E84" s="783"/>
    </row>
    <row r="85" spans="1:5" ht="84" customHeight="1" x14ac:dyDescent="0.25">
      <c r="A85" s="784" t="s">
        <v>491</v>
      </c>
      <c r="B85" s="784"/>
      <c r="C85" s="784"/>
      <c r="D85" s="784"/>
      <c r="E85" s="784"/>
    </row>
  </sheetData>
  <sheetProtection algorithmName="SHA-512" hashValue="/raS8sV2AJ44RPEirD8IA9uo2R6117L0W7OM/o6U2beotcWRJ4MyhzBQIIMJ6jRRd1A1R+yfVHKP3hWlZuIVug==" saltValue="TDV3rcu2fURc/BF49+62jw==" spinCount="100000" sheet="1" objects="1" scenarios="1"/>
  <mergeCells count="37">
    <mergeCell ref="A79:E79"/>
    <mergeCell ref="D73:E73"/>
    <mergeCell ref="D74:E74"/>
    <mergeCell ref="D75:E75"/>
    <mergeCell ref="A34:E34"/>
    <mergeCell ref="A67:E67"/>
    <mergeCell ref="A68:E68"/>
    <mergeCell ref="A35:E36"/>
    <mergeCell ref="D69:E69"/>
    <mergeCell ref="A84:E84"/>
    <mergeCell ref="A85:E85"/>
    <mergeCell ref="A69:A70"/>
    <mergeCell ref="B69:C69"/>
    <mergeCell ref="B70:C70"/>
    <mergeCell ref="D76:E76"/>
    <mergeCell ref="D77:E77"/>
    <mergeCell ref="B72:C72"/>
    <mergeCell ref="B73:C73"/>
    <mergeCell ref="B74:C74"/>
    <mergeCell ref="B75:C75"/>
    <mergeCell ref="B76:C76"/>
    <mergeCell ref="B77:C77"/>
    <mergeCell ref="B71:C71"/>
    <mergeCell ref="D71:E71"/>
    <mergeCell ref="D72:E72"/>
    <mergeCell ref="A2:E2"/>
    <mergeCell ref="B61:B62"/>
    <mergeCell ref="C61:C62"/>
    <mergeCell ref="D61:D62"/>
    <mergeCell ref="E61:E62"/>
    <mergeCell ref="A11:E11"/>
    <mergeCell ref="A4:E4"/>
    <mergeCell ref="A30:E30"/>
    <mergeCell ref="A33:E33"/>
    <mergeCell ref="A3:E3"/>
    <mergeCell ref="A6:E6"/>
    <mergeCell ref="A31:E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2" manualBreakCount="2">
    <brk id="32" max="4" man="1"/>
    <brk id="62" max="4" man="1"/>
  </rowBreaks>
  <colBreaks count="1" manualBreakCount="1">
    <brk id="5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28046-02D2-402B-8B62-837EE9F1EAB1}">
  <dimension ref="A1:V321"/>
  <sheetViews>
    <sheetView topLeftCell="B38" workbookViewId="0">
      <selection activeCell="P49" sqref="P49"/>
    </sheetView>
  </sheetViews>
  <sheetFormatPr defaultColWidth="9.140625" defaultRowHeight="15" x14ac:dyDescent="0.25"/>
  <cols>
    <col min="1" max="1" width="0" style="54" hidden="1" customWidth="1"/>
    <col min="2" max="2" width="15.85546875" style="54" customWidth="1"/>
    <col min="3" max="3" width="18.28515625" style="54" customWidth="1"/>
    <col min="4" max="4" width="12.42578125" style="54" bestFit="1" customWidth="1"/>
    <col min="5" max="5" width="14.5703125" style="54" bestFit="1" customWidth="1"/>
    <col min="6" max="6" width="13.140625" style="54" bestFit="1" customWidth="1"/>
    <col min="7" max="7" width="10.85546875" style="54" bestFit="1" customWidth="1"/>
    <col min="8" max="8" width="13" style="54" customWidth="1"/>
    <col min="9" max="9" width="12.42578125" style="54" bestFit="1" customWidth="1"/>
    <col min="10" max="10" width="10.85546875" style="54" bestFit="1" customWidth="1"/>
    <col min="11" max="11" width="9.140625" style="54" hidden="1" customWidth="1"/>
    <col min="12" max="16384" width="9.140625" style="54"/>
  </cols>
  <sheetData>
    <row r="1" spans="2:22" hidden="1" x14ac:dyDescent="0.25"/>
    <row r="2" spans="2:22" hidden="1" x14ac:dyDescent="0.25">
      <c r="B2" s="58"/>
      <c r="C2" s="58"/>
      <c r="D2" s="58"/>
      <c r="E2" s="58"/>
      <c r="F2" s="58"/>
      <c r="G2" s="58"/>
      <c r="H2" s="58"/>
      <c r="I2" s="58"/>
      <c r="J2" s="58"/>
    </row>
    <row r="3" spans="2:22" hidden="1" x14ac:dyDescent="0.25">
      <c r="B3" s="820"/>
      <c r="C3" s="821"/>
      <c r="D3" s="821"/>
      <c r="E3" s="821"/>
      <c r="F3" s="58"/>
      <c r="G3" s="58"/>
      <c r="H3" s="58"/>
      <c r="I3" s="58"/>
      <c r="J3" s="58"/>
    </row>
    <row r="4" spans="2:22" hidden="1" x14ac:dyDescent="0.25">
      <c r="B4" s="148"/>
      <c r="C4" s="149"/>
      <c r="D4" s="149"/>
      <c r="E4" s="461"/>
      <c r="F4" s="58"/>
      <c r="G4" s="58"/>
      <c r="H4" s="58"/>
      <c r="I4" s="58"/>
      <c r="J4" s="58"/>
    </row>
    <row r="5" spans="2:22" hidden="1" x14ac:dyDescent="0.25">
      <c r="B5" s="150"/>
      <c r="E5" s="461"/>
      <c r="F5" s="58"/>
      <c r="G5" s="58"/>
      <c r="H5" s="58"/>
      <c r="I5" s="58"/>
      <c r="J5" s="58"/>
    </row>
    <row r="6" spans="2:22" hidden="1" x14ac:dyDescent="0.25">
      <c r="B6" s="151"/>
      <c r="C6" s="59"/>
      <c r="D6" s="59"/>
      <c r="E6" s="461"/>
      <c r="F6" s="58"/>
      <c r="G6" s="58"/>
      <c r="H6" s="58"/>
      <c r="I6" s="58"/>
      <c r="J6" s="60"/>
    </row>
    <row r="7" spans="2:22" hidden="1" x14ac:dyDescent="0.25">
      <c r="B7" s="61"/>
      <c r="C7" s="62"/>
      <c r="D7" s="62"/>
      <c r="E7" s="62"/>
      <c r="F7" s="62"/>
      <c r="G7" s="62"/>
      <c r="H7" s="62"/>
      <c r="I7" s="58"/>
      <c r="J7" s="58"/>
    </row>
    <row r="8" spans="2:22" ht="30" hidden="1" x14ac:dyDescent="0.25">
      <c r="B8" s="63" t="s">
        <v>68</v>
      </c>
      <c r="C8" s="62"/>
      <c r="D8" s="62"/>
      <c r="E8" s="462">
        <f>'plan kosztów eksploatacyjnych'!B48</f>
        <v>0</v>
      </c>
      <c r="F8" s="62"/>
      <c r="G8" s="62"/>
      <c r="H8" s="62"/>
      <c r="I8" s="58"/>
      <c r="J8" s="58"/>
    </row>
    <row r="9" spans="2:22" hidden="1" x14ac:dyDescent="0.25">
      <c r="B9" s="64" t="s">
        <v>295</v>
      </c>
      <c r="C9" s="62"/>
      <c r="D9" s="62"/>
      <c r="E9" s="462">
        <f>'plan kosztów eksploatacyjnych'!B49</f>
        <v>0</v>
      </c>
      <c r="F9" s="62"/>
      <c r="G9" s="62"/>
      <c r="H9" s="62"/>
      <c r="I9" s="58"/>
      <c r="J9" s="58"/>
    </row>
    <row r="10" spans="2:22" ht="15.75" hidden="1" thickBot="1" x14ac:dyDescent="0.3">
      <c r="B10" s="65" t="s">
        <v>294</v>
      </c>
      <c r="C10" s="66"/>
      <c r="D10" s="66"/>
      <c r="E10" s="462">
        <f>'plan kosztów eksploatacyjnych'!B50</f>
        <v>0</v>
      </c>
      <c r="F10" s="62"/>
      <c r="G10" s="62"/>
      <c r="H10" s="62"/>
      <c r="I10" s="58"/>
      <c r="J10" s="58"/>
    </row>
    <row r="11" spans="2:22" hidden="1" x14ac:dyDescent="0.25">
      <c r="B11" s="58" t="s">
        <v>69</v>
      </c>
      <c r="D11" s="67"/>
      <c r="E11" s="68">
        <f>($E$8/365)*(KPIR!F14-KPIR!D14)</f>
        <v>0</v>
      </c>
      <c r="F11" s="68">
        <f>($E$8/365)*(KPIR!G14-KPIR!F14)</f>
        <v>0</v>
      </c>
      <c r="G11" s="68">
        <f>($E$8/365)*(KPIR!H14-KPIR!G14)</f>
        <v>0</v>
      </c>
      <c r="H11" s="68">
        <f>($E$8/365)*(KPIR!I14-KPIR!H14)</f>
        <v>0</v>
      </c>
      <c r="I11" s="68">
        <f>($E$8/365)*(KPIR!J14-KPIR!I14)</f>
        <v>0</v>
      </c>
      <c r="J11" s="68">
        <f>($E$8/365)*(KPIR!K14-KPIR!J14)</f>
        <v>0</v>
      </c>
      <c r="K11" s="68">
        <f>($E$8/365)*(KPIR!L14-KPIR!K14)</f>
        <v>0</v>
      </c>
      <c r="L11" s="68">
        <f>($E$8/365)*(KPIR!M14-KPIR!L14)</f>
        <v>0</v>
      </c>
      <c r="M11" s="68">
        <f>($E$8/365)*(KPIR!N14-KPIR!M14)</f>
        <v>0</v>
      </c>
      <c r="N11" s="68">
        <f>($E$8/365)*(KPIR!O14-KPIR!N14)</f>
        <v>0</v>
      </c>
      <c r="O11" s="68"/>
      <c r="P11" s="68"/>
      <c r="Q11" s="68"/>
      <c r="R11" s="68"/>
      <c r="S11" s="68"/>
      <c r="T11" s="68"/>
      <c r="U11" s="68"/>
      <c r="V11" s="68"/>
    </row>
    <row r="12" spans="2:22" ht="30" hidden="1" x14ac:dyDescent="0.25">
      <c r="B12" s="67" t="s">
        <v>70</v>
      </c>
      <c r="C12" s="67"/>
      <c r="D12" s="67"/>
      <c r="E12" s="68">
        <f>($E$9/365)*(KPIR!F7-KPIR!D7)</f>
        <v>0</v>
      </c>
      <c r="F12" s="68">
        <f>($E$9/365)*(KPIR!G9+KPIR!G12-KPIR!F9-KPIR!F12)</f>
        <v>0</v>
      </c>
      <c r="G12" s="68">
        <f>($E$9/365)*(KPIR!H9+KPIR!H12-KPIR!G9-KPIR!G12)</f>
        <v>0</v>
      </c>
      <c r="H12" s="68">
        <f>($E$9/365)*(KPIR!I9+KPIR!I12-KPIR!H9-KPIR!H12)</f>
        <v>0</v>
      </c>
      <c r="I12" s="68">
        <f>($E$9/365)*(KPIR!J9+KPIR!J12-KPIR!I9-KPIR!I12)</f>
        <v>0</v>
      </c>
      <c r="J12" s="58"/>
    </row>
    <row r="13" spans="2:22" hidden="1" x14ac:dyDescent="0.25">
      <c r="B13" s="69" t="s">
        <v>71</v>
      </c>
      <c r="C13" s="70"/>
      <c r="D13" s="71"/>
      <c r="E13" s="68">
        <f>($E$10/365)*(KPIR!F13-KPIR!F17)</f>
        <v>0</v>
      </c>
      <c r="F13" s="72">
        <f>($E$10/365)*(KPIR!G13-KPIR!G17-KPIR!F13+KPIR!F17)</f>
        <v>0</v>
      </c>
      <c r="G13" s="72">
        <f>($E$10/365)*(KPIR!H13-KPIR!H17-KPIR!G13+KPIR!G17)</f>
        <v>0</v>
      </c>
      <c r="H13" s="72">
        <f>($E$10/365)*(KPIR!I13-KPIR!I17-KPIR!H13+KPIR!H17)</f>
        <v>0</v>
      </c>
      <c r="I13" s="72">
        <f>($E$10/365)*(KPIR!J13-KPIR!J17-KPIR!I13+KPIR!I17)</f>
        <v>0</v>
      </c>
      <c r="J13" s="72">
        <f>($E$10/365)*(KPIR!K13-KPIR!K17-KPIR!J13+KPIR!J17)</f>
        <v>0</v>
      </c>
      <c r="K13" s="72">
        <f>($E$10/365)*(KPIR!L13-KPIR!L17-KPIR!K13+KPIR!K17)</f>
        <v>0</v>
      </c>
      <c r="L13" s="72">
        <f>($E$10/365)*(KPIR!M13-KPIR!M17-KPIR!L13+KPIR!L17)</f>
        <v>0</v>
      </c>
      <c r="M13" s="72">
        <f>($E$10/365)*(KPIR!N13-KPIR!N17-KPIR!M13+KPIR!M17)</f>
        <v>0</v>
      </c>
      <c r="N13" s="72">
        <f>($E$10/365)*(KPIR!O13-KPIR!O17-KPIR!N13+KPIR!N17)</f>
        <v>0</v>
      </c>
      <c r="O13" s="72"/>
      <c r="P13" s="72"/>
    </row>
    <row r="14" spans="2:22" hidden="1" x14ac:dyDescent="0.25">
      <c r="B14" s="67"/>
      <c r="C14" s="67"/>
      <c r="D14" s="67"/>
      <c r="E14" s="67"/>
      <c r="F14" s="166"/>
      <c r="G14" s="67"/>
      <c r="H14" s="67"/>
      <c r="I14" s="58"/>
      <c r="J14" s="58"/>
    </row>
    <row r="15" spans="2:22" hidden="1" x14ac:dyDescent="0.25">
      <c r="B15" s="67"/>
      <c r="C15" s="67"/>
      <c r="D15" s="67"/>
      <c r="E15" s="67"/>
      <c r="F15" s="67"/>
      <c r="G15" s="67"/>
      <c r="H15" s="67"/>
      <c r="I15" s="58"/>
      <c r="J15" s="58"/>
    </row>
    <row r="16" spans="2:22" hidden="1" x14ac:dyDescent="0.25">
      <c r="B16" s="67"/>
      <c r="C16" s="67"/>
      <c r="D16" s="67"/>
      <c r="E16" s="67"/>
      <c r="F16" s="67"/>
      <c r="G16" s="67"/>
      <c r="H16" s="67"/>
      <c r="I16" s="58"/>
      <c r="J16" s="58"/>
    </row>
    <row r="17" spans="2:10" hidden="1" x14ac:dyDescent="0.25">
      <c r="B17" s="67"/>
      <c r="C17" s="67"/>
      <c r="D17" s="67"/>
      <c r="E17" s="67"/>
      <c r="F17" s="67"/>
      <c r="G17" s="67"/>
      <c r="H17" s="67"/>
      <c r="I17" s="58"/>
      <c r="J17" s="58"/>
    </row>
    <row r="18" spans="2:10" hidden="1" x14ac:dyDescent="0.25">
      <c r="B18" s="67"/>
      <c r="C18" s="67"/>
      <c r="D18" s="67"/>
      <c r="E18" s="67"/>
      <c r="F18" s="67"/>
      <c r="G18" s="67"/>
      <c r="H18" s="67"/>
      <c r="I18" s="58"/>
      <c r="J18" s="58"/>
    </row>
    <row r="19" spans="2:10" hidden="1" x14ac:dyDescent="0.25">
      <c r="B19" s="67"/>
      <c r="C19" s="67"/>
      <c r="D19" s="67"/>
      <c r="E19" s="67"/>
      <c r="F19" s="67"/>
      <c r="G19" s="67"/>
      <c r="H19" s="67"/>
      <c r="I19" s="58"/>
      <c r="J19" s="58"/>
    </row>
    <row r="20" spans="2:10" hidden="1" x14ac:dyDescent="0.25">
      <c r="B20" s="67"/>
      <c r="C20" s="67"/>
      <c r="D20" s="67"/>
      <c r="E20" s="67"/>
      <c r="F20" s="67"/>
      <c r="G20" s="67"/>
      <c r="H20" s="67"/>
      <c r="I20" s="58"/>
      <c r="J20" s="58"/>
    </row>
    <row r="21" spans="2:10" hidden="1" x14ac:dyDescent="0.25">
      <c r="B21" s="67"/>
      <c r="C21" s="67"/>
      <c r="D21" s="67"/>
      <c r="E21" s="67"/>
      <c r="F21" s="67"/>
      <c r="G21" s="67"/>
      <c r="H21" s="67"/>
      <c r="I21" s="58"/>
      <c r="J21" s="58"/>
    </row>
    <row r="22" spans="2:10" hidden="1" x14ac:dyDescent="0.25">
      <c r="B22" s="67"/>
      <c r="C22" s="67"/>
      <c r="D22" s="67"/>
      <c r="E22" s="67"/>
      <c r="F22" s="67"/>
      <c r="G22" s="67"/>
      <c r="H22" s="67"/>
      <c r="I22" s="58"/>
      <c r="J22" s="58"/>
    </row>
    <row r="23" spans="2:10" hidden="1" x14ac:dyDescent="0.25">
      <c r="B23" s="67"/>
      <c r="C23" s="67"/>
      <c r="D23" s="67"/>
      <c r="E23" s="67"/>
      <c r="F23" s="67"/>
      <c r="G23" s="67"/>
      <c r="H23" s="67"/>
      <c r="I23" s="58"/>
      <c r="J23" s="58"/>
    </row>
    <row r="24" spans="2:10" hidden="1" x14ac:dyDescent="0.25">
      <c r="B24" s="67"/>
      <c r="C24" s="67"/>
      <c r="D24" s="67"/>
      <c r="E24" s="67"/>
      <c r="F24" s="67"/>
      <c r="G24" s="67"/>
      <c r="H24" s="67"/>
      <c r="I24" s="58"/>
      <c r="J24" s="58"/>
    </row>
    <row r="25" spans="2:10" hidden="1" x14ac:dyDescent="0.25">
      <c r="B25" s="67"/>
      <c r="C25" s="67"/>
      <c r="D25" s="67"/>
      <c r="E25" s="67"/>
      <c r="F25" s="67"/>
      <c r="G25" s="67"/>
      <c r="H25" s="67"/>
      <c r="I25" s="58"/>
      <c r="J25" s="58"/>
    </row>
    <row r="26" spans="2:10" hidden="1" x14ac:dyDescent="0.25">
      <c r="B26" s="67"/>
      <c r="C26" s="67"/>
      <c r="D26" s="67"/>
      <c r="E26" s="67"/>
      <c r="F26" s="67"/>
      <c r="G26" s="67"/>
      <c r="H26" s="67"/>
      <c r="I26" s="58"/>
      <c r="J26" s="58"/>
    </row>
    <row r="27" spans="2:10" hidden="1" x14ac:dyDescent="0.25">
      <c r="B27" s="67"/>
      <c r="C27" s="67"/>
      <c r="D27" s="67"/>
      <c r="E27" s="67"/>
      <c r="F27" s="67"/>
      <c r="G27" s="67"/>
      <c r="H27" s="67"/>
      <c r="I27" s="58"/>
      <c r="J27" s="58"/>
    </row>
    <row r="28" spans="2:10" hidden="1" x14ac:dyDescent="0.25">
      <c r="B28" s="67"/>
      <c r="C28" s="67"/>
      <c r="D28" s="67"/>
      <c r="E28" s="67"/>
      <c r="F28" s="67"/>
      <c r="G28" s="67"/>
      <c r="H28" s="67"/>
      <c r="I28" s="58"/>
      <c r="J28" s="58"/>
    </row>
    <row r="29" spans="2:10" hidden="1" x14ac:dyDescent="0.25">
      <c r="B29" s="67"/>
      <c r="C29" s="67"/>
      <c r="D29" s="67"/>
      <c r="E29" s="67"/>
      <c r="F29" s="67"/>
      <c r="G29" s="67"/>
      <c r="H29" s="67"/>
      <c r="I29" s="58"/>
      <c r="J29" s="58"/>
    </row>
    <row r="30" spans="2:10" hidden="1" x14ac:dyDescent="0.25">
      <c r="B30" s="67"/>
      <c r="C30" s="67"/>
      <c r="D30" s="67"/>
      <c r="E30" s="67"/>
      <c r="F30" s="67"/>
      <c r="G30" s="67"/>
      <c r="H30" s="67"/>
      <c r="I30" s="58"/>
      <c r="J30" s="58"/>
    </row>
    <row r="31" spans="2:10" hidden="1" x14ac:dyDescent="0.25">
      <c r="B31" s="67"/>
      <c r="C31" s="67"/>
      <c r="D31" s="67"/>
      <c r="E31" s="67"/>
      <c r="F31" s="67"/>
      <c r="G31" s="67"/>
      <c r="H31" s="67"/>
      <c r="I31" s="58"/>
      <c r="J31" s="58"/>
    </row>
    <row r="32" spans="2:10" hidden="1" x14ac:dyDescent="0.25">
      <c r="B32" s="67"/>
      <c r="C32" s="67"/>
      <c r="D32" s="67"/>
      <c r="E32" s="67"/>
      <c r="F32" s="67"/>
      <c r="G32" s="67"/>
      <c r="H32" s="67"/>
      <c r="I32" s="58"/>
      <c r="J32" s="58"/>
    </row>
    <row r="33" spans="1:13" hidden="1" x14ac:dyDescent="0.25">
      <c r="B33" s="67"/>
      <c r="C33" s="67"/>
      <c r="D33" s="67"/>
      <c r="E33" s="67"/>
      <c r="F33" s="67"/>
      <c r="G33" s="67"/>
      <c r="H33" s="67"/>
      <c r="I33" s="58"/>
      <c r="J33" s="58"/>
    </row>
    <row r="34" spans="1:13" hidden="1" x14ac:dyDescent="0.25">
      <c r="B34" s="67"/>
      <c r="C34" s="67"/>
      <c r="D34" s="67"/>
      <c r="E34" s="67"/>
      <c r="F34" s="67"/>
      <c r="G34" s="67"/>
      <c r="H34" s="67"/>
      <c r="I34" s="58"/>
      <c r="J34" s="58"/>
    </row>
    <row r="35" spans="1:13" hidden="1" x14ac:dyDescent="0.25">
      <c r="B35" s="67"/>
      <c r="C35" s="67"/>
      <c r="D35" s="67"/>
      <c r="E35" s="67"/>
      <c r="F35" s="67"/>
      <c r="G35" s="67"/>
      <c r="H35" s="67"/>
      <c r="I35" s="58"/>
      <c r="J35" s="58"/>
    </row>
    <row r="36" spans="1:13" ht="15.75" hidden="1" thickBot="1" x14ac:dyDescent="0.3">
      <c r="B36" s="73"/>
      <c r="C36" s="73"/>
      <c r="D36" s="74"/>
      <c r="E36" s="75"/>
      <c r="F36" s="75"/>
      <c r="G36" s="75"/>
    </row>
    <row r="37" spans="1:13" ht="24" hidden="1" thickBot="1" x14ac:dyDescent="0.4">
      <c r="A37" s="463" t="s">
        <v>285</v>
      </c>
      <c r="B37" s="464"/>
      <c r="C37" s="465"/>
      <c r="D37" s="466"/>
      <c r="E37" s="466"/>
      <c r="F37" s="466"/>
      <c r="G37" s="467"/>
    </row>
    <row r="38" spans="1:13" ht="16.5" thickBot="1" x14ac:dyDescent="0.3">
      <c r="A38" s="468"/>
      <c r="B38" s="468" t="s">
        <v>290</v>
      </c>
      <c r="C38" s="469" t="s">
        <v>291</v>
      </c>
      <c r="D38" s="606" t="s">
        <v>408</v>
      </c>
      <c r="E38" s="607"/>
      <c r="F38" s="470"/>
      <c r="G38" s="470"/>
      <c r="H38" s="471"/>
      <c r="I38" s="472" t="s">
        <v>290</v>
      </c>
      <c r="J38" s="472" t="s">
        <v>291</v>
      </c>
      <c r="K38" s="578" t="s">
        <v>427</v>
      </c>
    </row>
    <row r="39" spans="1:13" ht="30" x14ac:dyDescent="0.25">
      <c r="A39" s="473" t="e">
        <f>H39+R15+AB15+AL15+AV15+BF15+BP15+BZ15+CJ15+CT15+DD15</f>
        <v>#VALUE!</v>
      </c>
      <c r="B39" s="729">
        <f>I39+S15+AC15+AM15+AW15+BG15+BQ15+CA15+CK15+CU15+DE15</f>
        <v>0</v>
      </c>
      <c r="C39" s="729">
        <f>J39+T15+AD15+AN15+AX15+BH15+BR15+CB15+CL15+CV15+DF15</f>
        <v>0</v>
      </c>
      <c r="D39" s="730"/>
      <c r="E39" s="731"/>
      <c r="F39" s="732" t="s">
        <v>286</v>
      </c>
      <c r="G39" s="733">
        <f>'Parametry nakładów i pożyczki'!C28</f>
        <v>0</v>
      </c>
      <c r="H39" s="734" t="s">
        <v>287</v>
      </c>
      <c r="I39" s="735">
        <f>D283</f>
        <v>0</v>
      </c>
      <c r="J39" s="735">
        <f>E283</f>
        <v>0</v>
      </c>
      <c r="K39" s="688"/>
      <c r="L39" s="688"/>
    </row>
    <row r="40" spans="1:13" ht="15.75" x14ac:dyDescent="0.25">
      <c r="A40" s="474"/>
      <c r="B40" s="736"/>
      <c r="C40" s="737"/>
      <c r="D40" s="738"/>
      <c r="E40" s="738"/>
      <c r="F40" s="738"/>
      <c r="G40" s="739"/>
      <c r="H40" s="740"/>
      <c r="I40" s="688"/>
      <c r="J40" s="688"/>
      <c r="K40" s="688"/>
      <c r="L40" s="688"/>
    </row>
    <row r="41" spans="1:13" x14ac:dyDescent="0.25">
      <c r="A41" s="475" t="s">
        <v>288</v>
      </c>
      <c r="B41" s="755" t="s">
        <v>288</v>
      </c>
      <c r="C41" s="755" t="s">
        <v>289</v>
      </c>
      <c r="D41" s="756" t="s">
        <v>290</v>
      </c>
      <c r="E41" s="756" t="s">
        <v>291</v>
      </c>
      <c r="F41" s="756" t="s">
        <v>292</v>
      </c>
      <c r="G41" s="757" t="s">
        <v>293</v>
      </c>
      <c r="H41" s="758"/>
      <c r="I41" s="688"/>
      <c r="J41" s="688"/>
      <c r="K41" s="688"/>
      <c r="L41" s="688"/>
    </row>
    <row r="42" spans="1:13" ht="15.75" thickBot="1" x14ac:dyDescent="0.3">
      <c r="A42" s="476">
        <v>42384</v>
      </c>
      <c r="B42" s="763">
        <v>45889</v>
      </c>
      <c r="C42" s="741"/>
      <c r="D42" s="742"/>
      <c r="E42" s="742"/>
      <c r="F42" s="743">
        <f>'Parametry nakładów i pożyczki'!C27</f>
        <v>0</v>
      </c>
      <c r="G42" s="744"/>
      <c r="H42" s="740"/>
      <c r="I42" s="745"/>
      <c r="J42" s="688"/>
      <c r="K42" s="688">
        <f>YEAR(B42)</f>
        <v>2025</v>
      </c>
      <c r="L42" s="688"/>
    </row>
    <row r="43" spans="1:13" ht="15.75" thickBot="1" x14ac:dyDescent="0.3">
      <c r="A43" s="477">
        <v>42420</v>
      </c>
      <c r="B43" s="764">
        <v>45920</v>
      </c>
      <c r="C43" s="746">
        <f>B43-B42</f>
        <v>31</v>
      </c>
      <c r="D43" s="747"/>
      <c r="E43" s="747">
        <f>(F42*C43*H43/36500)</f>
        <v>0</v>
      </c>
      <c r="F43" s="748">
        <f>F42-D43</f>
        <v>0</v>
      </c>
      <c r="G43" s="747">
        <f>D43+E43</f>
        <v>0</v>
      </c>
      <c r="H43" s="749">
        <f>'Parametry nakładów i pożyczki'!C29</f>
        <v>0</v>
      </c>
      <c r="I43" s="745">
        <f>SUMIF(K$42:K$162,L43,D$42:D$162)</f>
        <v>0</v>
      </c>
      <c r="J43" s="745">
        <f>SUMIF(K$42:K$162,L43,E$42:E$162)</f>
        <v>0</v>
      </c>
      <c r="K43" s="688">
        <f t="shared" ref="K43:K106" si="0">YEAR(B43)</f>
        <v>2025</v>
      </c>
      <c r="L43" s="754">
        <v>2025</v>
      </c>
      <c r="M43" s="54" t="s">
        <v>428</v>
      </c>
    </row>
    <row r="44" spans="1:13" ht="15.75" thickBot="1" x14ac:dyDescent="0.3">
      <c r="A44" s="478">
        <v>42449</v>
      </c>
      <c r="B44" s="763">
        <v>45950</v>
      </c>
      <c r="C44" s="746">
        <f t="shared" ref="C44:C102" si="1">B44-B43</f>
        <v>30</v>
      </c>
      <c r="D44" s="747"/>
      <c r="E44" s="747">
        <f t="shared" ref="E44:E54" si="2">(F43*C44*H44/36500)</f>
        <v>0</v>
      </c>
      <c r="F44" s="748">
        <f t="shared" ref="F44:F58" si="3">F43-D44</f>
        <v>0</v>
      </c>
      <c r="G44" s="747">
        <f t="shared" ref="G44:G102" si="4">D44+E44</f>
        <v>0</v>
      </c>
      <c r="H44" s="750">
        <f t="shared" ref="H44:H107" si="5">$H$43</f>
        <v>0</v>
      </c>
      <c r="I44" s="688"/>
      <c r="J44" s="688"/>
      <c r="K44" s="688">
        <f t="shared" si="0"/>
        <v>2025</v>
      </c>
      <c r="L44" s="688"/>
      <c r="M44" s="580" t="s">
        <v>429</v>
      </c>
    </row>
    <row r="45" spans="1:13" x14ac:dyDescent="0.25">
      <c r="A45" s="477">
        <v>42480</v>
      </c>
      <c r="B45" s="764">
        <v>45981</v>
      </c>
      <c r="C45" s="746">
        <f t="shared" si="1"/>
        <v>31</v>
      </c>
      <c r="D45" s="747"/>
      <c r="E45" s="747">
        <f t="shared" si="2"/>
        <v>0</v>
      </c>
      <c r="F45" s="748">
        <f>F44-D45</f>
        <v>0</v>
      </c>
      <c r="G45" s="747">
        <f t="shared" si="4"/>
        <v>0</v>
      </c>
      <c r="H45" s="750">
        <f t="shared" si="5"/>
        <v>0</v>
      </c>
      <c r="I45" s="688"/>
      <c r="J45" s="688"/>
      <c r="K45" s="688">
        <f t="shared" si="0"/>
        <v>2025</v>
      </c>
      <c r="L45" s="688"/>
    </row>
    <row r="46" spans="1:13" ht="15.75" thickBot="1" x14ac:dyDescent="0.3">
      <c r="A46" s="478">
        <v>42510</v>
      </c>
      <c r="B46" s="763">
        <v>46011</v>
      </c>
      <c r="C46" s="746">
        <f t="shared" si="1"/>
        <v>30</v>
      </c>
      <c r="D46" s="747"/>
      <c r="E46" s="747">
        <f t="shared" si="2"/>
        <v>0</v>
      </c>
      <c r="F46" s="748">
        <f t="shared" si="3"/>
        <v>0</v>
      </c>
      <c r="G46" s="747">
        <f t="shared" si="4"/>
        <v>0</v>
      </c>
      <c r="H46" s="750">
        <f t="shared" si="5"/>
        <v>0</v>
      </c>
      <c r="I46" s="688"/>
      <c r="J46" s="688"/>
      <c r="K46" s="688">
        <f t="shared" si="0"/>
        <v>2025</v>
      </c>
      <c r="L46" s="688"/>
    </row>
    <row r="47" spans="1:13" x14ac:dyDescent="0.25">
      <c r="A47" s="477">
        <v>42541</v>
      </c>
      <c r="B47" s="764">
        <v>46042</v>
      </c>
      <c r="C47" s="746">
        <f t="shared" si="1"/>
        <v>31</v>
      </c>
      <c r="D47" s="747"/>
      <c r="E47" s="747">
        <f t="shared" si="2"/>
        <v>0</v>
      </c>
      <c r="F47" s="748">
        <f>F46-D47</f>
        <v>0</v>
      </c>
      <c r="G47" s="747">
        <f t="shared" si="4"/>
        <v>0</v>
      </c>
      <c r="H47" s="750">
        <f t="shared" si="5"/>
        <v>0</v>
      </c>
      <c r="I47" s="688"/>
      <c r="J47" s="688"/>
      <c r="K47" s="688">
        <f t="shared" si="0"/>
        <v>2026</v>
      </c>
      <c r="L47" s="688"/>
    </row>
    <row r="48" spans="1:13" ht="15.75" thickBot="1" x14ac:dyDescent="0.3">
      <c r="A48" s="478">
        <v>42571</v>
      </c>
      <c r="B48" s="763">
        <v>46073</v>
      </c>
      <c r="C48" s="746">
        <f t="shared" si="1"/>
        <v>31</v>
      </c>
      <c r="D48" s="747"/>
      <c r="E48" s="747">
        <f t="shared" si="2"/>
        <v>0</v>
      </c>
      <c r="F48" s="748">
        <f>F47-D48</f>
        <v>0</v>
      </c>
      <c r="G48" s="747">
        <f t="shared" si="4"/>
        <v>0</v>
      </c>
      <c r="H48" s="750">
        <f t="shared" si="5"/>
        <v>0</v>
      </c>
      <c r="I48" s="688"/>
      <c r="J48" s="688"/>
      <c r="K48" s="688">
        <f t="shared" si="0"/>
        <v>2026</v>
      </c>
      <c r="L48" s="688"/>
    </row>
    <row r="49" spans="1:12" x14ac:dyDescent="0.25">
      <c r="A49" s="477">
        <v>42602</v>
      </c>
      <c r="B49" s="764">
        <v>46101</v>
      </c>
      <c r="C49" s="746">
        <f t="shared" si="1"/>
        <v>28</v>
      </c>
      <c r="D49" s="747">
        <f t="shared" ref="D49:D112" si="6">IF(F48&lt;=0.1,0,$F$42/$G$39)</f>
        <v>0</v>
      </c>
      <c r="E49" s="747">
        <f t="shared" si="2"/>
        <v>0</v>
      </c>
      <c r="F49" s="748">
        <f t="shared" si="3"/>
        <v>0</v>
      </c>
      <c r="G49" s="747">
        <f t="shared" si="4"/>
        <v>0</v>
      </c>
      <c r="H49" s="750">
        <f t="shared" si="5"/>
        <v>0</v>
      </c>
      <c r="I49" s="688"/>
      <c r="J49" s="688"/>
      <c r="K49" s="688">
        <f t="shared" si="0"/>
        <v>2026</v>
      </c>
      <c r="L49" s="688"/>
    </row>
    <row r="50" spans="1:12" ht="15.75" thickBot="1" x14ac:dyDescent="0.3">
      <c r="A50" s="478">
        <v>42633</v>
      </c>
      <c r="B50" s="763">
        <v>46132</v>
      </c>
      <c r="C50" s="746">
        <f t="shared" si="1"/>
        <v>31</v>
      </c>
      <c r="D50" s="747">
        <f t="shared" si="6"/>
        <v>0</v>
      </c>
      <c r="E50" s="747">
        <f t="shared" si="2"/>
        <v>0</v>
      </c>
      <c r="F50" s="748">
        <f t="shared" si="3"/>
        <v>0</v>
      </c>
      <c r="G50" s="747">
        <f t="shared" si="4"/>
        <v>0</v>
      </c>
      <c r="H50" s="750">
        <f t="shared" si="5"/>
        <v>0</v>
      </c>
      <c r="I50" s="688"/>
      <c r="J50" s="688"/>
      <c r="K50" s="688">
        <f t="shared" si="0"/>
        <v>2026</v>
      </c>
      <c r="L50" s="688"/>
    </row>
    <row r="51" spans="1:12" x14ac:dyDescent="0.25">
      <c r="A51" s="477">
        <v>42663</v>
      </c>
      <c r="B51" s="764">
        <v>46162</v>
      </c>
      <c r="C51" s="746">
        <f t="shared" si="1"/>
        <v>30</v>
      </c>
      <c r="D51" s="747">
        <f t="shared" si="6"/>
        <v>0</v>
      </c>
      <c r="E51" s="747">
        <f t="shared" si="2"/>
        <v>0</v>
      </c>
      <c r="F51" s="748">
        <f t="shared" si="3"/>
        <v>0</v>
      </c>
      <c r="G51" s="747">
        <f t="shared" si="4"/>
        <v>0</v>
      </c>
      <c r="H51" s="750">
        <f t="shared" si="5"/>
        <v>0</v>
      </c>
      <c r="I51" s="688"/>
      <c r="J51" s="688"/>
      <c r="K51" s="688">
        <f t="shared" si="0"/>
        <v>2026</v>
      </c>
      <c r="L51" s="688"/>
    </row>
    <row r="52" spans="1:12" ht="15.75" thickBot="1" x14ac:dyDescent="0.3">
      <c r="A52" s="478">
        <v>42694</v>
      </c>
      <c r="B52" s="763">
        <v>46193</v>
      </c>
      <c r="C52" s="746">
        <f t="shared" si="1"/>
        <v>31</v>
      </c>
      <c r="D52" s="747">
        <f t="shared" si="6"/>
        <v>0</v>
      </c>
      <c r="E52" s="747">
        <f t="shared" si="2"/>
        <v>0</v>
      </c>
      <c r="F52" s="748">
        <f t="shared" si="3"/>
        <v>0</v>
      </c>
      <c r="G52" s="747">
        <f t="shared" si="4"/>
        <v>0</v>
      </c>
      <c r="H52" s="750">
        <f t="shared" si="5"/>
        <v>0</v>
      </c>
      <c r="I52" s="688"/>
      <c r="J52" s="688"/>
      <c r="K52" s="688">
        <f t="shared" si="0"/>
        <v>2026</v>
      </c>
      <c r="L52" s="688"/>
    </row>
    <row r="53" spans="1:12" x14ac:dyDescent="0.25">
      <c r="A53" s="477">
        <v>42724</v>
      </c>
      <c r="B53" s="764">
        <v>46223</v>
      </c>
      <c r="C53" s="746">
        <f t="shared" si="1"/>
        <v>30</v>
      </c>
      <c r="D53" s="747">
        <f t="shared" si="6"/>
        <v>0</v>
      </c>
      <c r="E53" s="747">
        <f t="shared" si="2"/>
        <v>0</v>
      </c>
      <c r="F53" s="748">
        <f t="shared" si="3"/>
        <v>0</v>
      </c>
      <c r="G53" s="747">
        <f t="shared" si="4"/>
        <v>0</v>
      </c>
      <c r="H53" s="750">
        <f t="shared" si="5"/>
        <v>0</v>
      </c>
      <c r="I53" s="688"/>
      <c r="J53" s="688"/>
      <c r="K53" s="688">
        <f t="shared" si="0"/>
        <v>2026</v>
      </c>
      <c r="L53" s="688"/>
    </row>
    <row r="54" spans="1:12" ht="15.75" thickBot="1" x14ac:dyDescent="0.3">
      <c r="A54" s="478">
        <v>42755</v>
      </c>
      <c r="B54" s="763">
        <v>46254</v>
      </c>
      <c r="C54" s="746">
        <f t="shared" si="1"/>
        <v>31</v>
      </c>
      <c r="D54" s="747">
        <f t="shared" si="6"/>
        <v>0</v>
      </c>
      <c r="E54" s="747">
        <f t="shared" si="2"/>
        <v>0</v>
      </c>
      <c r="F54" s="748">
        <f>F53-D54</f>
        <v>0</v>
      </c>
      <c r="G54" s="747">
        <f t="shared" si="4"/>
        <v>0</v>
      </c>
      <c r="H54" s="750">
        <f t="shared" si="5"/>
        <v>0</v>
      </c>
      <c r="I54" s="688"/>
      <c r="J54" s="688"/>
      <c r="K54" s="688">
        <f t="shared" si="0"/>
        <v>2026</v>
      </c>
      <c r="L54" s="688"/>
    </row>
    <row r="55" spans="1:12" x14ac:dyDescent="0.25">
      <c r="A55" s="477">
        <v>42786</v>
      </c>
      <c r="B55" s="764">
        <v>46285</v>
      </c>
      <c r="C55" s="746">
        <f t="shared" si="1"/>
        <v>31</v>
      </c>
      <c r="D55" s="747">
        <f t="shared" si="6"/>
        <v>0</v>
      </c>
      <c r="E55" s="747">
        <f t="shared" ref="E55:E118" si="7">IF(D55&lt;0.1,0,(F54*C55*H55/36500))</f>
        <v>0</v>
      </c>
      <c r="F55" s="748">
        <f t="shared" si="3"/>
        <v>0</v>
      </c>
      <c r="G55" s="747">
        <f t="shared" si="4"/>
        <v>0</v>
      </c>
      <c r="H55" s="750">
        <f t="shared" si="5"/>
        <v>0</v>
      </c>
      <c r="I55" s="745">
        <f>SUMIF(K$42:K$162,L55,D$42:D$162)</f>
        <v>0</v>
      </c>
      <c r="J55" s="745">
        <f>SUMIF(K$42:K$162,L55,E$42:E$162)</f>
        <v>0</v>
      </c>
      <c r="K55" s="688">
        <f t="shared" si="0"/>
        <v>2026</v>
      </c>
      <c r="L55" s="688">
        <f>L43+1</f>
        <v>2026</v>
      </c>
    </row>
    <row r="56" spans="1:12" ht="15.75" thickBot="1" x14ac:dyDescent="0.3">
      <c r="A56" s="478">
        <v>42814</v>
      </c>
      <c r="B56" s="763">
        <v>46315</v>
      </c>
      <c r="C56" s="746">
        <f t="shared" si="1"/>
        <v>30</v>
      </c>
      <c r="D56" s="747">
        <f t="shared" si="6"/>
        <v>0</v>
      </c>
      <c r="E56" s="747">
        <f t="shared" si="7"/>
        <v>0</v>
      </c>
      <c r="F56" s="748">
        <f t="shared" si="3"/>
        <v>0</v>
      </c>
      <c r="G56" s="747">
        <f t="shared" si="4"/>
        <v>0</v>
      </c>
      <c r="H56" s="750">
        <f t="shared" si="5"/>
        <v>0</v>
      </c>
      <c r="I56" s="688"/>
      <c r="J56" s="688"/>
      <c r="K56" s="688">
        <f t="shared" si="0"/>
        <v>2026</v>
      </c>
      <c r="L56" s="688"/>
    </row>
    <row r="57" spans="1:12" x14ac:dyDescent="0.25">
      <c r="A57" s="477">
        <v>42845</v>
      </c>
      <c r="B57" s="764">
        <v>46346</v>
      </c>
      <c r="C57" s="746">
        <f t="shared" si="1"/>
        <v>31</v>
      </c>
      <c r="D57" s="747">
        <f t="shared" si="6"/>
        <v>0</v>
      </c>
      <c r="E57" s="747">
        <f t="shared" si="7"/>
        <v>0</v>
      </c>
      <c r="F57" s="748">
        <f t="shared" si="3"/>
        <v>0</v>
      </c>
      <c r="G57" s="747">
        <f t="shared" si="4"/>
        <v>0</v>
      </c>
      <c r="H57" s="750">
        <f t="shared" si="5"/>
        <v>0</v>
      </c>
      <c r="I57" s="688"/>
      <c r="J57" s="688"/>
      <c r="K57" s="688">
        <f t="shared" si="0"/>
        <v>2026</v>
      </c>
      <c r="L57" s="688"/>
    </row>
    <row r="58" spans="1:12" ht="15.75" thickBot="1" x14ac:dyDescent="0.3">
      <c r="A58" s="478">
        <v>42875</v>
      </c>
      <c r="B58" s="763">
        <v>46376</v>
      </c>
      <c r="C58" s="746">
        <f t="shared" si="1"/>
        <v>30</v>
      </c>
      <c r="D58" s="747">
        <f t="shared" si="6"/>
        <v>0</v>
      </c>
      <c r="E58" s="747">
        <f t="shared" si="7"/>
        <v>0</v>
      </c>
      <c r="F58" s="748">
        <f t="shared" si="3"/>
        <v>0</v>
      </c>
      <c r="G58" s="747">
        <f t="shared" si="4"/>
        <v>0</v>
      </c>
      <c r="H58" s="750">
        <f t="shared" si="5"/>
        <v>0</v>
      </c>
      <c r="I58" s="688"/>
      <c r="J58" s="688"/>
      <c r="K58" s="688">
        <f t="shared" si="0"/>
        <v>2026</v>
      </c>
      <c r="L58" s="688"/>
    </row>
    <row r="59" spans="1:12" x14ac:dyDescent="0.25">
      <c r="A59" s="477">
        <v>42906</v>
      </c>
      <c r="B59" s="764">
        <v>46407</v>
      </c>
      <c r="C59" s="746">
        <f>B59-B58</f>
        <v>31</v>
      </c>
      <c r="D59" s="747">
        <f t="shared" si="6"/>
        <v>0</v>
      </c>
      <c r="E59" s="747">
        <f t="shared" si="7"/>
        <v>0</v>
      </c>
      <c r="F59" s="748">
        <f>F58-D59</f>
        <v>0</v>
      </c>
      <c r="G59" s="747">
        <f t="shared" si="4"/>
        <v>0</v>
      </c>
      <c r="H59" s="750">
        <f t="shared" si="5"/>
        <v>0</v>
      </c>
      <c r="I59" s="688"/>
      <c r="J59" s="688"/>
      <c r="K59" s="688">
        <f t="shared" si="0"/>
        <v>2027</v>
      </c>
      <c r="L59" s="688"/>
    </row>
    <row r="60" spans="1:12" ht="15.75" thickBot="1" x14ac:dyDescent="0.3">
      <c r="A60" s="478">
        <v>42936</v>
      </c>
      <c r="B60" s="763">
        <v>46438</v>
      </c>
      <c r="C60" s="746">
        <f>B60-B59</f>
        <v>31</v>
      </c>
      <c r="D60" s="747">
        <f t="shared" si="6"/>
        <v>0</v>
      </c>
      <c r="E60" s="747">
        <f t="shared" si="7"/>
        <v>0</v>
      </c>
      <c r="F60" s="748">
        <f>F59-D60</f>
        <v>0</v>
      </c>
      <c r="G60" s="747">
        <f>D60+E60</f>
        <v>0</v>
      </c>
      <c r="H60" s="750">
        <f t="shared" si="5"/>
        <v>0</v>
      </c>
      <c r="I60" s="688"/>
      <c r="J60" s="688"/>
      <c r="K60" s="688">
        <f t="shared" si="0"/>
        <v>2027</v>
      </c>
      <c r="L60" s="688"/>
    </row>
    <row r="61" spans="1:12" x14ac:dyDescent="0.25">
      <c r="A61" s="477">
        <v>42967</v>
      </c>
      <c r="B61" s="764">
        <v>46466</v>
      </c>
      <c r="C61" s="746">
        <f>B61-B60</f>
        <v>28</v>
      </c>
      <c r="D61" s="747">
        <f t="shared" si="6"/>
        <v>0</v>
      </c>
      <c r="E61" s="747">
        <f t="shared" si="7"/>
        <v>0</v>
      </c>
      <c r="F61" s="748">
        <f>F60-D61</f>
        <v>0</v>
      </c>
      <c r="G61" s="747">
        <f t="shared" si="4"/>
        <v>0</v>
      </c>
      <c r="H61" s="750">
        <f t="shared" si="5"/>
        <v>0</v>
      </c>
      <c r="I61" s="688"/>
      <c r="J61" s="688"/>
      <c r="K61" s="688">
        <f t="shared" si="0"/>
        <v>2027</v>
      </c>
      <c r="L61" s="688"/>
    </row>
    <row r="62" spans="1:12" ht="15.75" thickBot="1" x14ac:dyDescent="0.3">
      <c r="A62" s="478">
        <v>42998</v>
      </c>
      <c r="B62" s="763">
        <v>46497</v>
      </c>
      <c r="C62" s="746">
        <f t="shared" si="1"/>
        <v>31</v>
      </c>
      <c r="D62" s="747">
        <f t="shared" si="6"/>
        <v>0</v>
      </c>
      <c r="E62" s="747">
        <f t="shared" si="7"/>
        <v>0</v>
      </c>
      <c r="F62" s="748">
        <f t="shared" ref="F62:F102" si="8">F61-D62</f>
        <v>0</v>
      </c>
      <c r="G62" s="747">
        <f t="shared" si="4"/>
        <v>0</v>
      </c>
      <c r="H62" s="750">
        <f t="shared" si="5"/>
        <v>0</v>
      </c>
      <c r="I62" s="688"/>
      <c r="J62" s="688"/>
      <c r="K62" s="688">
        <f t="shared" si="0"/>
        <v>2027</v>
      </c>
      <c r="L62" s="688"/>
    </row>
    <row r="63" spans="1:12" x14ac:dyDescent="0.25">
      <c r="A63" s="477">
        <v>43028</v>
      </c>
      <c r="B63" s="764">
        <v>46527</v>
      </c>
      <c r="C63" s="746">
        <f t="shared" si="1"/>
        <v>30</v>
      </c>
      <c r="D63" s="747">
        <f t="shared" si="6"/>
        <v>0</v>
      </c>
      <c r="E63" s="747">
        <f t="shared" si="7"/>
        <v>0</v>
      </c>
      <c r="F63" s="748">
        <f t="shared" si="8"/>
        <v>0</v>
      </c>
      <c r="G63" s="747">
        <f t="shared" si="4"/>
        <v>0</v>
      </c>
      <c r="H63" s="750">
        <f t="shared" si="5"/>
        <v>0</v>
      </c>
      <c r="I63" s="688"/>
      <c r="J63" s="688"/>
      <c r="K63" s="688">
        <f t="shared" si="0"/>
        <v>2027</v>
      </c>
      <c r="L63" s="688"/>
    </row>
    <row r="64" spans="1:12" ht="15.75" thickBot="1" x14ac:dyDescent="0.3">
      <c r="A64" s="478">
        <v>43059</v>
      </c>
      <c r="B64" s="763">
        <v>46558</v>
      </c>
      <c r="C64" s="746">
        <f t="shared" si="1"/>
        <v>31</v>
      </c>
      <c r="D64" s="747">
        <f t="shared" si="6"/>
        <v>0</v>
      </c>
      <c r="E64" s="747">
        <f t="shared" si="7"/>
        <v>0</v>
      </c>
      <c r="F64" s="748">
        <f t="shared" si="8"/>
        <v>0</v>
      </c>
      <c r="G64" s="747">
        <f t="shared" si="4"/>
        <v>0</v>
      </c>
      <c r="H64" s="750">
        <f t="shared" si="5"/>
        <v>0</v>
      </c>
      <c r="I64" s="688"/>
      <c r="J64" s="688"/>
      <c r="K64" s="688">
        <f t="shared" si="0"/>
        <v>2027</v>
      </c>
      <c r="L64" s="688"/>
    </row>
    <row r="65" spans="1:12" x14ac:dyDescent="0.25">
      <c r="A65" s="477">
        <v>43089</v>
      </c>
      <c r="B65" s="764">
        <v>46588</v>
      </c>
      <c r="C65" s="746">
        <f t="shared" si="1"/>
        <v>30</v>
      </c>
      <c r="D65" s="747">
        <f t="shared" si="6"/>
        <v>0</v>
      </c>
      <c r="E65" s="747">
        <f t="shared" si="7"/>
        <v>0</v>
      </c>
      <c r="F65" s="748">
        <f t="shared" si="8"/>
        <v>0</v>
      </c>
      <c r="G65" s="747">
        <f t="shared" si="4"/>
        <v>0</v>
      </c>
      <c r="H65" s="750">
        <f t="shared" si="5"/>
        <v>0</v>
      </c>
      <c r="I65" s="688"/>
      <c r="J65" s="688"/>
      <c r="K65" s="688">
        <f t="shared" si="0"/>
        <v>2027</v>
      </c>
      <c r="L65" s="688"/>
    </row>
    <row r="66" spans="1:12" ht="15.75" thickBot="1" x14ac:dyDescent="0.3">
      <c r="A66" s="478">
        <v>43120</v>
      </c>
      <c r="B66" s="763">
        <v>46619</v>
      </c>
      <c r="C66" s="746">
        <f t="shared" si="1"/>
        <v>31</v>
      </c>
      <c r="D66" s="747">
        <f t="shared" si="6"/>
        <v>0</v>
      </c>
      <c r="E66" s="747">
        <f t="shared" si="7"/>
        <v>0</v>
      </c>
      <c r="F66" s="748">
        <f>F65-D66</f>
        <v>0</v>
      </c>
      <c r="G66" s="747">
        <f t="shared" si="4"/>
        <v>0</v>
      </c>
      <c r="H66" s="750">
        <f t="shared" si="5"/>
        <v>0</v>
      </c>
      <c r="I66" s="688"/>
      <c r="J66" s="688"/>
      <c r="K66" s="688">
        <f t="shared" si="0"/>
        <v>2027</v>
      </c>
      <c r="L66" s="688"/>
    </row>
    <row r="67" spans="1:12" x14ac:dyDescent="0.25">
      <c r="A67" s="477">
        <v>43151</v>
      </c>
      <c r="B67" s="764">
        <v>46650</v>
      </c>
      <c r="C67" s="746">
        <f t="shared" si="1"/>
        <v>31</v>
      </c>
      <c r="D67" s="747">
        <f t="shared" si="6"/>
        <v>0</v>
      </c>
      <c r="E67" s="747">
        <f t="shared" si="7"/>
        <v>0</v>
      </c>
      <c r="F67" s="748">
        <f t="shared" si="8"/>
        <v>0</v>
      </c>
      <c r="G67" s="747">
        <f t="shared" si="4"/>
        <v>0</v>
      </c>
      <c r="H67" s="750">
        <f t="shared" si="5"/>
        <v>0</v>
      </c>
      <c r="I67" s="745">
        <f>SUMIF(K$42:K$162,L67,D$42:D$162)</f>
        <v>0</v>
      </c>
      <c r="J67" s="745">
        <f>SUMIF(K$42:K$162,L67,E$42:E$162)</f>
        <v>0</v>
      </c>
      <c r="K67" s="688">
        <f t="shared" si="0"/>
        <v>2027</v>
      </c>
      <c r="L67" s="688">
        <f>L55+1</f>
        <v>2027</v>
      </c>
    </row>
    <row r="68" spans="1:12" ht="15.75" thickBot="1" x14ac:dyDescent="0.3">
      <c r="A68" s="478">
        <v>43179</v>
      </c>
      <c r="B68" s="763">
        <v>46680</v>
      </c>
      <c r="C68" s="746">
        <f t="shared" si="1"/>
        <v>30</v>
      </c>
      <c r="D68" s="747">
        <f t="shared" si="6"/>
        <v>0</v>
      </c>
      <c r="E68" s="747">
        <f t="shared" si="7"/>
        <v>0</v>
      </c>
      <c r="F68" s="748">
        <f t="shared" si="8"/>
        <v>0</v>
      </c>
      <c r="G68" s="747">
        <f t="shared" si="4"/>
        <v>0</v>
      </c>
      <c r="H68" s="750">
        <f t="shared" si="5"/>
        <v>0</v>
      </c>
      <c r="I68" s="688"/>
      <c r="J68" s="688"/>
      <c r="K68" s="688">
        <f t="shared" si="0"/>
        <v>2027</v>
      </c>
      <c r="L68" s="688"/>
    </row>
    <row r="69" spans="1:12" x14ac:dyDescent="0.25">
      <c r="A69" s="477">
        <v>43210</v>
      </c>
      <c r="B69" s="764">
        <v>46711</v>
      </c>
      <c r="C69" s="746">
        <f t="shared" si="1"/>
        <v>31</v>
      </c>
      <c r="D69" s="747">
        <f t="shared" si="6"/>
        <v>0</v>
      </c>
      <c r="E69" s="747">
        <f t="shared" si="7"/>
        <v>0</v>
      </c>
      <c r="F69" s="748">
        <f t="shared" si="8"/>
        <v>0</v>
      </c>
      <c r="G69" s="747">
        <f t="shared" si="4"/>
        <v>0</v>
      </c>
      <c r="H69" s="750">
        <f t="shared" si="5"/>
        <v>0</v>
      </c>
      <c r="I69" s="688"/>
      <c r="J69" s="688"/>
      <c r="K69" s="688">
        <f t="shared" si="0"/>
        <v>2027</v>
      </c>
      <c r="L69" s="688"/>
    </row>
    <row r="70" spans="1:12" ht="15.75" thickBot="1" x14ac:dyDescent="0.3">
      <c r="A70" s="478">
        <v>43240</v>
      </c>
      <c r="B70" s="763">
        <v>46741</v>
      </c>
      <c r="C70" s="746">
        <f t="shared" si="1"/>
        <v>30</v>
      </c>
      <c r="D70" s="747">
        <f t="shared" si="6"/>
        <v>0</v>
      </c>
      <c r="E70" s="747">
        <f t="shared" si="7"/>
        <v>0</v>
      </c>
      <c r="F70" s="748">
        <f t="shared" si="8"/>
        <v>0</v>
      </c>
      <c r="G70" s="747">
        <f t="shared" si="4"/>
        <v>0</v>
      </c>
      <c r="H70" s="750">
        <f t="shared" si="5"/>
        <v>0</v>
      </c>
      <c r="I70" s="688"/>
      <c r="J70" s="688"/>
      <c r="K70" s="688">
        <f t="shared" si="0"/>
        <v>2027</v>
      </c>
      <c r="L70" s="688"/>
    </row>
    <row r="71" spans="1:12" x14ac:dyDescent="0.25">
      <c r="A71" s="477">
        <v>43271</v>
      </c>
      <c r="B71" s="764">
        <v>46772</v>
      </c>
      <c r="C71" s="746">
        <f t="shared" si="1"/>
        <v>31</v>
      </c>
      <c r="D71" s="747">
        <f t="shared" si="6"/>
        <v>0</v>
      </c>
      <c r="E71" s="747">
        <f t="shared" si="7"/>
        <v>0</v>
      </c>
      <c r="F71" s="748">
        <f t="shared" si="8"/>
        <v>0</v>
      </c>
      <c r="G71" s="747">
        <f t="shared" si="4"/>
        <v>0</v>
      </c>
      <c r="H71" s="750">
        <f t="shared" si="5"/>
        <v>0</v>
      </c>
      <c r="I71" s="688"/>
      <c r="J71" s="688"/>
      <c r="K71" s="688">
        <f t="shared" si="0"/>
        <v>2028</v>
      </c>
      <c r="L71" s="688"/>
    </row>
    <row r="72" spans="1:12" ht="15.75" thickBot="1" x14ac:dyDescent="0.3">
      <c r="A72" s="478">
        <v>43301</v>
      </c>
      <c r="B72" s="763">
        <v>46803</v>
      </c>
      <c r="C72" s="746">
        <f t="shared" si="1"/>
        <v>31</v>
      </c>
      <c r="D72" s="747">
        <f t="shared" si="6"/>
        <v>0</v>
      </c>
      <c r="E72" s="747">
        <f t="shared" si="7"/>
        <v>0</v>
      </c>
      <c r="F72" s="748">
        <f t="shared" si="8"/>
        <v>0</v>
      </c>
      <c r="G72" s="747">
        <f t="shared" si="4"/>
        <v>0</v>
      </c>
      <c r="H72" s="750">
        <f t="shared" si="5"/>
        <v>0</v>
      </c>
      <c r="I72" s="688"/>
      <c r="J72" s="688"/>
      <c r="K72" s="688">
        <f t="shared" si="0"/>
        <v>2028</v>
      </c>
      <c r="L72" s="688"/>
    </row>
    <row r="73" spans="1:12" x14ac:dyDescent="0.25">
      <c r="A73" s="477">
        <v>43332</v>
      </c>
      <c r="B73" s="764">
        <v>46832</v>
      </c>
      <c r="C73" s="746">
        <f t="shared" si="1"/>
        <v>29</v>
      </c>
      <c r="D73" s="747">
        <f t="shared" si="6"/>
        <v>0</v>
      </c>
      <c r="E73" s="747">
        <f t="shared" si="7"/>
        <v>0</v>
      </c>
      <c r="F73" s="748">
        <f t="shared" si="8"/>
        <v>0</v>
      </c>
      <c r="G73" s="747">
        <f t="shared" si="4"/>
        <v>0</v>
      </c>
      <c r="H73" s="750">
        <f t="shared" si="5"/>
        <v>0</v>
      </c>
      <c r="I73" s="688"/>
      <c r="J73" s="688"/>
      <c r="K73" s="688">
        <f t="shared" si="0"/>
        <v>2028</v>
      </c>
      <c r="L73" s="688"/>
    </row>
    <row r="74" spans="1:12" ht="15.75" thickBot="1" x14ac:dyDescent="0.3">
      <c r="A74" s="478">
        <v>43363</v>
      </c>
      <c r="B74" s="763">
        <v>46863</v>
      </c>
      <c r="C74" s="746">
        <f t="shared" si="1"/>
        <v>31</v>
      </c>
      <c r="D74" s="747">
        <f t="shared" si="6"/>
        <v>0</v>
      </c>
      <c r="E74" s="747">
        <f t="shared" si="7"/>
        <v>0</v>
      </c>
      <c r="F74" s="748">
        <f t="shared" si="8"/>
        <v>0</v>
      </c>
      <c r="G74" s="747">
        <f t="shared" si="4"/>
        <v>0</v>
      </c>
      <c r="H74" s="750">
        <f t="shared" si="5"/>
        <v>0</v>
      </c>
      <c r="I74" s="688"/>
      <c r="J74" s="688"/>
      <c r="K74" s="688">
        <f t="shared" si="0"/>
        <v>2028</v>
      </c>
      <c r="L74" s="688"/>
    </row>
    <row r="75" spans="1:12" x14ac:dyDescent="0.25">
      <c r="A75" s="477">
        <v>43393</v>
      </c>
      <c r="B75" s="764">
        <v>46893</v>
      </c>
      <c r="C75" s="746">
        <f t="shared" si="1"/>
        <v>30</v>
      </c>
      <c r="D75" s="747">
        <f t="shared" si="6"/>
        <v>0</v>
      </c>
      <c r="E75" s="747">
        <f t="shared" si="7"/>
        <v>0</v>
      </c>
      <c r="F75" s="748">
        <f t="shared" si="8"/>
        <v>0</v>
      </c>
      <c r="G75" s="747">
        <f t="shared" si="4"/>
        <v>0</v>
      </c>
      <c r="H75" s="750">
        <f t="shared" si="5"/>
        <v>0</v>
      </c>
      <c r="I75" s="688"/>
      <c r="J75" s="688"/>
      <c r="K75" s="688">
        <f t="shared" si="0"/>
        <v>2028</v>
      </c>
      <c r="L75" s="688"/>
    </row>
    <row r="76" spans="1:12" ht="15.75" thickBot="1" x14ac:dyDescent="0.3">
      <c r="A76" s="478">
        <v>43424</v>
      </c>
      <c r="B76" s="763">
        <v>46924</v>
      </c>
      <c r="C76" s="746">
        <f t="shared" si="1"/>
        <v>31</v>
      </c>
      <c r="D76" s="747">
        <f t="shared" si="6"/>
        <v>0</v>
      </c>
      <c r="E76" s="747">
        <f t="shared" si="7"/>
        <v>0</v>
      </c>
      <c r="F76" s="748">
        <f t="shared" si="8"/>
        <v>0</v>
      </c>
      <c r="G76" s="747">
        <f t="shared" si="4"/>
        <v>0</v>
      </c>
      <c r="H76" s="750">
        <f t="shared" si="5"/>
        <v>0</v>
      </c>
      <c r="I76" s="688"/>
      <c r="J76" s="688"/>
      <c r="K76" s="688">
        <f t="shared" si="0"/>
        <v>2028</v>
      </c>
      <c r="L76" s="688"/>
    </row>
    <row r="77" spans="1:12" x14ac:dyDescent="0.25">
      <c r="A77" s="477">
        <v>43454</v>
      </c>
      <c r="B77" s="764">
        <v>46954</v>
      </c>
      <c r="C77" s="746">
        <f t="shared" si="1"/>
        <v>30</v>
      </c>
      <c r="D77" s="747">
        <f t="shared" si="6"/>
        <v>0</v>
      </c>
      <c r="E77" s="747">
        <f t="shared" si="7"/>
        <v>0</v>
      </c>
      <c r="F77" s="748">
        <f t="shared" si="8"/>
        <v>0</v>
      </c>
      <c r="G77" s="747">
        <f t="shared" si="4"/>
        <v>0</v>
      </c>
      <c r="H77" s="750">
        <f t="shared" si="5"/>
        <v>0</v>
      </c>
      <c r="I77" s="688"/>
      <c r="J77" s="688"/>
      <c r="K77" s="688">
        <f t="shared" si="0"/>
        <v>2028</v>
      </c>
      <c r="L77" s="688"/>
    </row>
    <row r="78" spans="1:12" ht="15.75" thickBot="1" x14ac:dyDescent="0.3">
      <c r="A78" s="478">
        <v>43485</v>
      </c>
      <c r="B78" s="763">
        <v>46985</v>
      </c>
      <c r="C78" s="746">
        <f t="shared" si="1"/>
        <v>31</v>
      </c>
      <c r="D78" s="747">
        <f t="shared" si="6"/>
        <v>0</v>
      </c>
      <c r="E78" s="747">
        <f t="shared" si="7"/>
        <v>0</v>
      </c>
      <c r="F78" s="748">
        <f>F77-D78</f>
        <v>0</v>
      </c>
      <c r="G78" s="747">
        <f t="shared" si="4"/>
        <v>0</v>
      </c>
      <c r="H78" s="750">
        <f t="shared" si="5"/>
        <v>0</v>
      </c>
      <c r="I78" s="688"/>
      <c r="J78" s="688"/>
      <c r="K78" s="688">
        <f t="shared" si="0"/>
        <v>2028</v>
      </c>
      <c r="L78" s="688"/>
    </row>
    <row r="79" spans="1:12" x14ac:dyDescent="0.25">
      <c r="A79" s="477">
        <v>43516</v>
      </c>
      <c r="B79" s="764">
        <v>47016</v>
      </c>
      <c r="C79" s="746">
        <f t="shared" si="1"/>
        <v>31</v>
      </c>
      <c r="D79" s="747">
        <f t="shared" si="6"/>
        <v>0</v>
      </c>
      <c r="E79" s="747">
        <f t="shared" si="7"/>
        <v>0</v>
      </c>
      <c r="F79" s="748">
        <f t="shared" si="8"/>
        <v>0</v>
      </c>
      <c r="G79" s="747">
        <f t="shared" si="4"/>
        <v>0</v>
      </c>
      <c r="H79" s="750">
        <f t="shared" si="5"/>
        <v>0</v>
      </c>
      <c r="I79" s="745">
        <f>SUMIF(K$42:K$162,L79,D$42:D$162)</f>
        <v>0</v>
      </c>
      <c r="J79" s="745">
        <f>SUMIF(K$42:K$162,L79,E$42:E$162)</f>
        <v>0</v>
      </c>
      <c r="K79" s="688">
        <f t="shared" si="0"/>
        <v>2028</v>
      </c>
      <c r="L79" s="688">
        <f>L67+1</f>
        <v>2028</v>
      </c>
    </row>
    <row r="80" spans="1:12" ht="15.75" thickBot="1" x14ac:dyDescent="0.3">
      <c r="A80" s="478">
        <v>43544</v>
      </c>
      <c r="B80" s="763">
        <v>47046</v>
      </c>
      <c r="C80" s="746">
        <f t="shared" si="1"/>
        <v>30</v>
      </c>
      <c r="D80" s="747">
        <f t="shared" si="6"/>
        <v>0</v>
      </c>
      <c r="E80" s="747">
        <f t="shared" si="7"/>
        <v>0</v>
      </c>
      <c r="F80" s="748">
        <f t="shared" si="8"/>
        <v>0</v>
      </c>
      <c r="G80" s="747">
        <f t="shared" si="4"/>
        <v>0</v>
      </c>
      <c r="H80" s="750">
        <f t="shared" si="5"/>
        <v>0</v>
      </c>
      <c r="I80" s="688"/>
      <c r="J80" s="688"/>
      <c r="K80" s="688">
        <f t="shared" si="0"/>
        <v>2028</v>
      </c>
      <c r="L80" s="688"/>
    </row>
    <row r="81" spans="1:12" x14ac:dyDescent="0.25">
      <c r="A81" s="477">
        <v>43575</v>
      </c>
      <c r="B81" s="764">
        <v>47077</v>
      </c>
      <c r="C81" s="746">
        <f t="shared" si="1"/>
        <v>31</v>
      </c>
      <c r="D81" s="747">
        <f t="shared" si="6"/>
        <v>0</v>
      </c>
      <c r="E81" s="747">
        <f t="shared" si="7"/>
        <v>0</v>
      </c>
      <c r="F81" s="748">
        <f t="shared" si="8"/>
        <v>0</v>
      </c>
      <c r="G81" s="747">
        <f t="shared" si="4"/>
        <v>0</v>
      </c>
      <c r="H81" s="750">
        <f t="shared" si="5"/>
        <v>0</v>
      </c>
      <c r="I81" s="688"/>
      <c r="J81" s="688"/>
      <c r="K81" s="688">
        <f t="shared" si="0"/>
        <v>2028</v>
      </c>
      <c r="L81" s="688"/>
    </row>
    <row r="82" spans="1:12" ht="15.75" thickBot="1" x14ac:dyDescent="0.3">
      <c r="A82" s="478">
        <v>43605</v>
      </c>
      <c r="B82" s="763">
        <v>47107</v>
      </c>
      <c r="C82" s="746">
        <f t="shared" si="1"/>
        <v>30</v>
      </c>
      <c r="D82" s="747">
        <f t="shared" si="6"/>
        <v>0</v>
      </c>
      <c r="E82" s="747">
        <f t="shared" si="7"/>
        <v>0</v>
      </c>
      <c r="F82" s="748">
        <f t="shared" si="8"/>
        <v>0</v>
      </c>
      <c r="G82" s="747">
        <f t="shared" si="4"/>
        <v>0</v>
      </c>
      <c r="H82" s="750">
        <f t="shared" si="5"/>
        <v>0</v>
      </c>
      <c r="I82" s="688"/>
      <c r="J82" s="688"/>
      <c r="K82" s="688">
        <f t="shared" si="0"/>
        <v>2028</v>
      </c>
      <c r="L82" s="688"/>
    </row>
    <row r="83" spans="1:12" x14ac:dyDescent="0.25">
      <c r="A83" s="477">
        <v>43636</v>
      </c>
      <c r="B83" s="764">
        <v>47138</v>
      </c>
      <c r="C83" s="746">
        <f t="shared" si="1"/>
        <v>31</v>
      </c>
      <c r="D83" s="747">
        <f t="shared" si="6"/>
        <v>0</v>
      </c>
      <c r="E83" s="747">
        <f t="shared" si="7"/>
        <v>0</v>
      </c>
      <c r="F83" s="748">
        <f t="shared" si="8"/>
        <v>0</v>
      </c>
      <c r="G83" s="747">
        <f t="shared" si="4"/>
        <v>0</v>
      </c>
      <c r="H83" s="750">
        <f t="shared" si="5"/>
        <v>0</v>
      </c>
      <c r="I83" s="688"/>
      <c r="J83" s="688"/>
      <c r="K83" s="688">
        <f t="shared" si="0"/>
        <v>2029</v>
      </c>
      <c r="L83" s="688"/>
    </row>
    <row r="84" spans="1:12" ht="15.75" thickBot="1" x14ac:dyDescent="0.3">
      <c r="A84" s="478">
        <v>43666</v>
      </c>
      <c r="B84" s="763">
        <v>47169</v>
      </c>
      <c r="C84" s="746">
        <f t="shared" si="1"/>
        <v>31</v>
      </c>
      <c r="D84" s="747">
        <f t="shared" si="6"/>
        <v>0</v>
      </c>
      <c r="E84" s="747">
        <f t="shared" si="7"/>
        <v>0</v>
      </c>
      <c r="F84" s="748">
        <f t="shared" si="8"/>
        <v>0</v>
      </c>
      <c r="G84" s="747">
        <f t="shared" si="4"/>
        <v>0</v>
      </c>
      <c r="H84" s="750">
        <f t="shared" si="5"/>
        <v>0</v>
      </c>
      <c r="I84" s="688"/>
      <c r="J84" s="688"/>
      <c r="K84" s="688">
        <f t="shared" si="0"/>
        <v>2029</v>
      </c>
      <c r="L84" s="688"/>
    </row>
    <row r="85" spans="1:12" x14ac:dyDescent="0.25">
      <c r="A85" s="477">
        <v>43697</v>
      </c>
      <c r="B85" s="764">
        <v>47197</v>
      </c>
      <c r="C85" s="746">
        <f t="shared" si="1"/>
        <v>28</v>
      </c>
      <c r="D85" s="747">
        <f t="shared" si="6"/>
        <v>0</v>
      </c>
      <c r="E85" s="747">
        <f t="shared" si="7"/>
        <v>0</v>
      </c>
      <c r="F85" s="748">
        <f t="shared" si="8"/>
        <v>0</v>
      </c>
      <c r="G85" s="747">
        <f t="shared" si="4"/>
        <v>0</v>
      </c>
      <c r="H85" s="750">
        <f t="shared" si="5"/>
        <v>0</v>
      </c>
      <c r="I85" s="688"/>
      <c r="J85" s="688"/>
      <c r="K85" s="688">
        <f t="shared" si="0"/>
        <v>2029</v>
      </c>
      <c r="L85" s="688"/>
    </row>
    <row r="86" spans="1:12" ht="15.75" thickBot="1" x14ac:dyDescent="0.3">
      <c r="A86" s="478">
        <v>43728</v>
      </c>
      <c r="B86" s="763">
        <v>47228</v>
      </c>
      <c r="C86" s="746">
        <f t="shared" si="1"/>
        <v>31</v>
      </c>
      <c r="D86" s="747">
        <f t="shared" si="6"/>
        <v>0</v>
      </c>
      <c r="E86" s="747">
        <f t="shared" si="7"/>
        <v>0</v>
      </c>
      <c r="F86" s="748">
        <f t="shared" si="8"/>
        <v>0</v>
      </c>
      <c r="G86" s="747">
        <f t="shared" si="4"/>
        <v>0</v>
      </c>
      <c r="H86" s="750">
        <f t="shared" si="5"/>
        <v>0</v>
      </c>
      <c r="I86" s="688"/>
      <c r="J86" s="688"/>
      <c r="K86" s="688">
        <f t="shared" si="0"/>
        <v>2029</v>
      </c>
      <c r="L86" s="688"/>
    </row>
    <row r="87" spans="1:12" x14ac:dyDescent="0.25">
      <c r="A87" s="477">
        <v>43758</v>
      </c>
      <c r="B87" s="764">
        <v>47258</v>
      </c>
      <c r="C87" s="746">
        <f t="shared" si="1"/>
        <v>30</v>
      </c>
      <c r="D87" s="747">
        <f t="shared" si="6"/>
        <v>0</v>
      </c>
      <c r="E87" s="747">
        <f t="shared" si="7"/>
        <v>0</v>
      </c>
      <c r="F87" s="748">
        <f t="shared" si="8"/>
        <v>0</v>
      </c>
      <c r="G87" s="747">
        <f t="shared" si="4"/>
        <v>0</v>
      </c>
      <c r="H87" s="750">
        <f t="shared" si="5"/>
        <v>0</v>
      </c>
      <c r="I87" s="688"/>
      <c r="J87" s="688"/>
      <c r="K87" s="688">
        <f t="shared" si="0"/>
        <v>2029</v>
      </c>
      <c r="L87" s="688"/>
    </row>
    <row r="88" spans="1:12" ht="15.75" thickBot="1" x14ac:dyDescent="0.3">
      <c r="A88" s="478">
        <v>43789</v>
      </c>
      <c r="B88" s="763">
        <v>47289</v>
      </c>
      <c r="C88" s="746">
        <f t="shared" si="1"/>
        <v>31</v>
      </c>
      <c r="D88" s="747">
        <f t="shared" si="6"/>
        <v>0</v>
      </c>
      <c r="E88" s="747">
        <f t="shared" si="7"/>
        <v>0</v>
      </c>
      <c r="F88" s="748">
        <f t="shared" si="8"/>
        <v>0</v>
      </c>
      <c r="G88" s="747">
        <f t="shared" si="4"/>
        <v>0</v>
      </c>
      <c r="H88" s="750">
        <f t="shared" si="5"/>
        <v>0</v>
      </c>
      <c r="I88" s="688"/>
      <c r="J88" s="688"/>
      <c r="K88" s="688">
        <f t="shared" si="0"/>
        <v>2029</v>
      </c>
      <c r="L88" s="688"/>
    </row>
    <row r="89" spans="1:12" x14ac:dyDescent="0.25">
      <c r="A89" s="477">
        <v>43819</v>
      </c>
      <c r="B89" s="764">
        <v>47319</v>
      </c>
      <c r="C89" s="746">
        <f t="shared" si="1"/>
        <v>30</v>
      </c>
      <c r="D89" s="747">
        <f t="shared" si="6"/>
        <v>0</v>
      </c>
      <c r="E89" s="747">
        <f t="shared" si="7"/>
        <v>0</v>
      </c>
      <c r="F89" s="748">
        <f t="shared" si="8"/>
        <v>0</v>
      </c>
      <c r="G89" s="747">
        <f t="shared" si="4"/>
        <v>0</v>
      </c>
      <c r="H89" s="750">
        <f t="shared" si="5"/>
        <v>0</v>
      </c>
      <c r="I89" s="688"/>
      <c r="J89" s="688"/>
      <c r="K89" s="688">
        <f t="shared" si="0"/>
        <v>2029</v>
      </c>
      <c r="L89" s="688"/>
    </row>
    <row r="90" spans="1:12" ht="15.75" thickBot="1" x14ac:dyDescent="0.3">
      <c r="A90" s="478">
        <v>43850</v>
      </c>
      <c r="B90" s="763">
        <v>47350</v>
      </c>
      <c r="C90" s="746">
        <f t="shared" si="1"/>
        <v>31</v>
      </c>
      <c r="D90" s="747">
        <f t="shared" si="6"/>
        <v>0</v>
      </c>
      <c r="E90" s="747">
        <f t="shared" si="7"/>
        <v>0</v>
      </c>
      <c r="F90" s="748">
        <f t="shared" si="8"/>
        <v>0</v>
      </c>
      <c r="G90" s="747">
        <f t="shared" si="4"/>
        <v>0</v>
      </c>
      <c r="H90" s="750">
        <f t="shared" si="5"/>
        <v>0</v>
      </c>
      <c r="I90" s="688"/>
      <c r="J90" s="688"/>
      <c r="K90" s="688">
        <f t="shared" si="0"/>
        <v>2029</v>
      </c>
      <c r="L90" s="688"/>
    </row>
    <row r="91" spans="1:12" x14ac:dyDescent="0.25">
      <c r="A91" s="477">
        <v>43881</v>
      </c>
      <c r="B91" s="764">
        <v>47381</v>
      </c>
      <c r="C91" s="746">
        <f t="shared" si="1"/>
        <v>31</v>
      </c>
      <c r="D91" s="747">
        <f t="shared" si="6"/>
        <v>0</v>
      </c>
      <c r="E91" s="747">
        <f t="shared" si="7"/>
        <v>0</v>
      </c>
      <c r="F91" s="748">
        <f t="shared" si="8"/>
        <v>0</v>
      </c>
      <c r="G91" s="747">
        <f t="shared" si="4"/>
        <v>0</v>
      </c>
      <c r="H91" s="750">
        <f t="shared" si="5"/>
        <v>0</v>
      </c>
      <c r="I91" s="745">
        <f>SUMIF(K$42:K$162,L91,D$42:D$162)</f>
        <v>0</v>
      </c>
      <c r="J91" s="745">
        <f>SUMIF(K$42:K$162,L91,E$42:E$162)</f>
        <v>0</v>
      </c>
      <c r="K91" s="688">
        <f t="shared" si="0"/>
        <v>2029</v>
      </c>
      <c r="L91" s="688">
        <f>L79+1</f>
        <v>2029</v>
      </c>
    </row>
    <row r="92" spans="1:12" ht="15.75" thickBot="1" x14ac:dyDescent="0.3">
      <c r="A92" s="478">
        <v>43910</v>
      </c>
      <c r="B92" s="763">
        <v>47411</v>
      </c>
      <c r="C92" s="746">
        <f t="shared" si="1"/>
        <v>30</v>
      </c>
      <c r="D92" s="747">
        <f t="shared" si="6"/>
        <v>0</v>
      </c>
      <c r="E92" s="747">
        <f t="shared" si="7"/>
        <v>0</v>
      </c>
      <c r="F92" s="748">
        <f t="shared" si="8"/>
        <v>0</v>
      </c>
      <c r="G92" s="747">
        <f t="shared" si="4"/>
        <v>0</v>
      </c>
      <c r="H92" s="750">
        <f t="shared" si="5"/>
        <v>0</v>
      </c>
      <c r="I92" s="688"/>
      <c r="J92" s="688"/>
      <c r="K92" s="688">
        <f t="shared" si="0"/>
        <v>2029</v>
      </c>
      <c r="L92" s="688"/>
    </row>
    <row r="93" spans="1:12" x14ac:dyDescent="0.25">
      <c r="A93" s="477">
        <v>43941</v>
      </c>
      <c r="B93" s="764">
        <v>47442</v>
      </c>
      <c r="C93" s="746">
        <f t="shared" si="1"/>
        <v>31</v>
      </c>
      <c r="D93" s="747">
        <f t="shared" si="6"/>
        <v>0</v>
      </c>
      <c r="E93" s="747">
        <f t="shared" si="7"/>
        <v>0</v>
      </c>
      <c r="F93" s="748">
        <f t="shared" si="8"/>
        <v>0</v>
      </c>
      <c r="G93" s="747">
        <f t="shared" si="4"/>
        <v>0</v>
      </c>
      <c r="H93" s="750">
        <f t="shared" si="5"/>
        <v>0</v>
      </c>
      <c r="I93" s="688"/>
      <c r="J93" s="688"/>
      <c r="K93" s="688">
        <f t="shared" si="0"/>
        <v>2029</v>
      </c>
      <c r="L93" s="688"/>
    </row>
    <row r="94" spans="1:12" ht="15.75" thickBot="1" x14ac:dyDescent="0.3">
      <c r="A94" s="478">
        <v>43971</v>
      </c>
      <c r="B94" s="763">
        <v>47472</v>
      </c>
      <c r="C94" s="746">
        <f t="shared" si="1"/>
        <v>30</v>
      </c>
      <c r="D94" s="747">
        <f t="shared" si="6"/>
        <v>0</v>
      </c>
      <c r="E94" s="747">
        <f t="shared" si="7"/>
        <v>0</v>
      </c>
      <c r="F94" s="748">
        <f t="shared" si="8"/>
        <v>0</v>
      </c>
      <c r="G94" s="747">
        <f t="shared" si="4"/>
        <v>0</v>
      </c>
      <c r="H94" s="750">
        <f t="shared" si="5"/>
        <v>0</v>
      </c>
      <c r="I94" s="688"/>
      <c r="J94" s="688"/>
      <c r="K94" s="688">
        <f t="shared" si="0"/>
        <v>2029</v>
      </c>
      <c r="L94" s="688"/>
    </row>
    <row r="95" spans="1:12" x14ac:dyDescent="0.25">
      <c r="A95" s="477">
        <v>44002</v>
      </c>
      <c r="B95" s="764">
        <v>47503</v>
      </c>
      <c r="C95" s="746">
        <f t="shared" si="1"/>
        <v>31</v>
      </c>
      <c r="D95" s="747">
        <f t="shared" si="6"/>
        <v>0</v>
      </c>
      <c r="E95" s="747">
        <f t="shared" si="7"/>
        <v>0</v>
      </c>
      <c r="F95" s="748">
        <f t="shared" si="8"/>
        <v>0</v>
      </c>
      <c r="G95" s="747">
        <f t="shared" si="4"/>
        <v>0</v>
      </c>
      <c r="H95" s="750">
        <f t="shared" si="5"/>
        <v>0</v>
      </c>
      <c r="I95" s="688"/>
      <c r="J95" s="688"/>
      <c r="K95" s="688">
        <f t="shared" si="0"/>
        <v>2030</v>
      </c>
      <c r="L95" s="688"/>
    </row>
    <row r="96" spans="1:12" ht="15.75" thickBot="1" x14ac:dyDescent="0.3">
      <c r="A96" s="478">
        <v>44032</v>
      </c>
      <c r="B96" s="763">
        <v>47534</v>
      </c>
      <c r="C96" s="746">
        <f t="shared" si="1"/>
        <v>31</v>
      </c>
      <c r="D96" s="747">
        <f t="shared" si="6"/>
        <v>0</v>
      </c>
      <c r="E96" s="747">
        <f t="shared" si="7"/>
        <v>0</v>
      </c>
      <c r="F96" s="748">
        <f t="shared" si="8"/>
        <v>0</v>
      </c>
      <c r="G96" s="747">
        <f t="shared" si="4"/>
        <v>0</v>
      </c>
      <c r="H96" s="750">
        <f t="shared" si="5"/>
        <v>0</v>
      </c>
      <c r="I96" s="688"/>
      <c r="J96" s="688"/>
      <c r="K96" s="688">
        <f t="shared" si="0"/>
        <v>2030</v>
      </c>
      <c r="L96" s="688"/>
    </row>
    <row r="97" spans="1:12" x14ac:dyDescent="0.25">
      <c r="A97" s="477">
        <v>44063</v>
      </c>
      <c r="B97" s="764">
        <v>47562</v>
      </c>
      <c r="C97" s="746">
        <f t="shared" si="1"/>
        <v>28</v>
      </c>
      <c r="D97" s="747">
        <f t="shared" si="6"/>
        <v>0</v>
      </c>
      <c r="E97" s="747">
        <f t="shared" si="7"/>
        <v>0</v>
      </c>
      <c r="F97" s="748">
        <f t="shared" si="8"/>
        <v>0</v>
      </c>
      <c r="G97" s="747">
        <f t="shared" si="4"/>
        <v>0</v>
      </c>
      <c r="H97" s="750">
        <f t="shared" si="5"/>
        <v>0</v>
      </c>
      <c r="I97" s="688"/>
      <c r="J97" s="688"/>
      <c r="K97" s="688">
        <f t="shared" si="0"/>
        <v>2030</v>
      </c>
      <c r="L97" s="688"/>
    </row>
    <row r="98" spans="1:12" ht="15.75" thickBot="1" x14ac:dyDescent="0.3">
      <c r="A98" s="478">
        <v>44094</v>
      </c>
      <c r="B98" s="763">
        <v>47593</v>
      </c>
      <c r="C98" s="746">
        <f t="shared" si="1"/>
        <v>31</v>
      </c>
      <c r="D98" s="747">
        <f t="shared" si="6"/>
        <v>0</v>
      </c>
      <c r="E98" s="747">
        <f t="shared" si="7"/>
        <v>0</v>
      </c>
      <c r="F98" s="748">
        <f t="shared" si="8"/>
        <v>0</v>
      </c>
      <c r="G98" s="747">
        <f t="shared" si="4"/>
        <v>0</v>
      </c>
      <c r="H98" s="750">
        <f t="shared" si="5"/>
        <v>0</v>
      </c>
      <c r="I98" s="688"/>
      <c r="J98" s="688"/>
      <c r="K98" s="688">
        <f t="shared" si="0"/>
        <v>2030</v>
      </c>
      <c r="L98" s="688"/>
    </row>
    <row r="99" spans="1:12" x14ac:dyDescent="0.25">
      <c r="A99" s="477">
        <v>44124</v>
      </c>
      <c r="B99" s="764">
        <v>47623</v>
      </c>
      <c r="C99" s="746">
        <f t="shared" si="1"/>
        <v>30</v>
      </c>
      <c r="D99" s="747">
        <f t="shared" si="6"/>
        <v>0</v>
      </c>
      <c r="E99" s="747">
        <f t="shared" si="7"/>
        <v>0</v>
      </c>
      <c r="F99" s="748">
        <f t="shared" si="8"/>
        <v>0</v>
      </c>
      <c r="G99" s="747">
        <f t="shared" si="4"/>
        <v>0</v>
      </c>
      <c r="H99" s="750">
        <f t="shared" si="5"/>
        <v>0</v>
      </c>
      <c r="I99" s="688"/>
      <c r="J99" s="688"/>
      <c r="K99" s="688">
        <f t="shared" si="0"/>
        <v>2030</v>
      </c>
      <c r="L99" s="688"/>
    </row>
    <row r="100" spans="1:12" ht="15.75" thickBot="1" x14ac:dyDescent="0.3">
      <c r="A100" s="478">
        <v>44155</v>
      </c>
      <c r="B100" s="763">
        <v>47654</v>
      </c>
      <c r="C100" s="746">
        <f t="shared" si="1"/>
        <v>31</v>
      </c>
      <c r="D100" s="747">
        <f t="shared" si="6"/>
        <v>0</v>
      </c>
      <c r="E100" s="747">
        <f t="shared" si="7"/>
        <v>0</v>
      </c>
      <c r="F100" s="748">
        <f t="shared" si="8"/>
        <v>0</v>
      </c>
      <c r="G100" s="747">
        <f t="shared" si="4"/>
        <v>0</v>
      </c>
      <c r="H100" s="750">
        <f t="shared" si="5"/>
        <v>0</v>
      </c>
      <c r="I100" s="688"/>
      <c r="J100" s="688"/>
      <c r="K100" s="688">
        <f t="shared" si="0"/>
        <v>2030</v>
      </c>
      <c r="L100" s="688"/>
    </row>
    <row r="101" spans="1:12" x14ac:dyDescent="0.25">
      <c r="A101" s="477">
        <v>44185</v>
      </c>
      <c r="B101" s="764">
        <v>47684</v>
      </c>
      <c r="C101" s="746">
        <f t="shared" si="1"/>
        <v>30</v>
      </c>
      <c r="D101" s="747">
        <f t="shared" si="6"/>
        <v>0</v>
      </c>
      <c r="E101" s="747">
        <f t="shared" si="7"/>
        <v>0</v>
      </c>
      <c r="F101" s="748">
        <f t="shared" si="8"/>
        <v>0</v>
      </c>
      <c r="G101" s="747">
        <f t="shared" si="4"/>
        <v>0</v>
      </c>
      <c r="H101" s="750">
        <f t="shared" si="5"/>
        <v>0</v>
      </c>
      <c r="I101" s="688"/>
      <c r="J101" s="688"/>
      <c r="K101" s="688">
        <f t="shared" si="0"/>
        <v>2030</v>
      </c>
      <c r="L101" s="688"/>
    </row>
    <row r="102" spans="1:12" ht="15.75" thickBot="1" x14ac:dyDescent="0.3">
      <c r="A102" s="478">
        <v>44216</v>
      </c>
      <c r="B102" s="763">
        <v>47715</v>
      </c>
      <c r="C102" s="746">
        <f t="shared" si="1"/>
        <v>31</v>
      </c>
      <c r="D102" s="747">
        <f t="shared" si="6"/>
        <v>0</v>
      </c>
      <c r="E102" s="747">
        <f t="shared" si="7"/>
        <v>0</v>
      </c>
      <c r="F102" s="748">
        <f t="shared" si="8"/>
        <v>0</v>
      </c>
      <c r="G102" s="747">
        <f t="shared" si="4"/>
        <v>0</v>
      </c>
      <c r="H102" s="750">
        <f t="shared" si="5"/>
        <v>0</v>
      </c>
      <c r="I102" s="745">
        <f>I42+I55+I67+I79+I91+I43</f>
        <v>0</v>
      </c>
      <c r="J102" s="745">
        <f>J43+J55+J67+J79+J91</f>
        <v>0</v>
      </c>
      <c r="K102" s="688">
        <f t="shared" si="0"/>
        <v>2030</v>
      </c>
      <c r="L102" s="688"/>
    </row>
    <row r="103" spans="1:12" x14ac:dyDescent="0.25">
      <c r="A103" s="477">
        <v>44247</v>
      </c>
      <c r="B103" s="764">
        <v>47746</v>
      </c>
      <c r="C103" s="746">
        <f>B103-B102</f>
        <v>31</v>
      </c>
      <c r="D103" s="747">
        <f t="shared" si="6"/>
        <v>0</v>
      </c>
      <c r="E103" s="747">
        <f t="shared" si="7"/>
        <v>0</v>
      </c>
      <c r="F103" s="748">
        <f>F102-D103</f>
        <v>0</v>
      </c>
      <c r="G103" s="747">
        <f>D103+E103</f>
        <v>0</v>
      </c>
      <c r="H103" s="750">
        <f t="shared" si="5"/>
        <v>0</v>
      </c>
      <c r="I103" s="745">
        <f>SUMIF(K$42:K$162,L103,D$42:D$162)</f>
        <v>0</v>
      </c>
      <c r="J103" s="745">
        <f>SUMIF(K$42:K$162,L103,E$42:E$162)</f>
        <v>0</v>
      </c>
      <c r="K103" s="688">
        <f t="shared" si="0"/>
        <v>2030</v>
      </c>
      <c r="L103" s="688">
        <f>L91+1</f>
        <v>2030</v>
      </c>
    </row>
    <row r="104" spans="1:12" ht="15.75" thickBot="1" x14ac:dyDescent="0.3">
      <c r="A104" s="478">
        <v>44275</v>
      </c>
      <c r="B104" s="763">
        <v>47776</v>
      </c>
      <c r="C104" s="746">
        <f t="shared" ref="C104:C118" si="9">B104-B103</f>
        <v>30</v>
      </c>
      <c r="D104" s="747">
        <f t="shared" si="6"/>
        <v>0</v>
      </c>
      <c r="E104" s="747">
        <f t="shared" si="7"/>
        <v>0</v>
      </c>
      <c r="F104" s="748">
        <f t="shared" ref="F104" si="10">F103-D104</f>
        <v>0</v>
      </c>
      <c r="G104" s="747">
        <f t="shared" ref="G104:G119" si="11">D104+E104</f>
        <v>0</v>
      </c>
      <c r="H104" s="750">
        <f t="shared" si="5"/>
        <v>0</v>
      </c>
      <c r="I104" s="688"/>
      <c r="J104" s="688"/>
      <c r="K104" s="688">
        <f t="shared" si="0"/>
        <v>2030</v>
      </c>
      <c r="L104" s="688"/>
    </row>
    <row r="105" spans="1:12" x14ac:dyDescent="0.25">
      <c r="A105" s="477">
        <v>44306</v>
      </c>
      <c r="B105" s="764">
        <v>47807</v>
      </c>
      <c r="C105" s="746">
        <f t="shared" si="9"/>
        <v>31</v>
      </c>
      <c r="D105" s="747">
        <f t="shared" si="6"/>
        <v>0</v>
      </c>
      <c r="E105" s="747">
        <f t="shared" si="7"/>
        <v>0</v>
      </c>
      <c r="F105" s="748">
        <f>F104-D105</f>
        <v>0</v>
      </c>
      <c r="G105" s="747">
        <f t="shared" si="11"/>
        <v>0</v>
      </c>
      <c r="H105" s="750">
        <f t="shared" si="5"/>
        <v>0</v>
      </c>
      <c r="I105" s="688"/>
      <c r="J105" s="688"/>
      <c r="K105" s="688">
        <f t="shared" si="0"/>
        <v>2030</v>
      </c>
      <c r="L105" s="688"/>
    </row>
    <row r="106" spans="1:12" ht="15.75" thickBot="1" x14ac:dyDescent="0.3">
      <c r="A106" s="478">
        <v>44336</v>
      </c>
      <c r="B106" s="763">
        <v>47837</v>
      </c>
      <c r="C106" s="746">
        <f t="shared" si="9"/>
        <v>30</v>
      </c>
      <c r="D106" s="747">
        <f t="shared" si="6"/>
        <v>0</v>
      </c>
      <c r="E106" s="747">
        <f t="shared" si="7"/>
        <v>0</v>
      </c>
      <c r="F106" s="748">
        <f t="shared" ref="F106" si="12">F105-D106</f>
        <v>0</v>
      </c>
      <c r="G106" s="747">
        <f t="shared" si="11"/>
        <v>0</v>
      </c>
      <c r="H106" s="750">
        <f t="shared" si="5"/>
        <v>0</v>
      </c>
      <c r="I106" s="688"/>
      <c r="J106" s="688"/>
      <c r="K106" s="688">
        <f t="shared" si="0"/>
        <v>2030</v>
      </c>
      <c r="L106" s="688"/>
    </row>
    <row r="107" spans="1:12" x14ac:dyDescent="0.25">
      <c r="A107" s="477">
        <v>44367</v>
      </c>
      <c r="B107" s="764">
        <v>47868</v>
      </c>
      <c r="C107" s="746">
        <f t="shared" si="9"/>
        <v>31</v>
      </c>
      <c r="D107" s="747">
        <f t="shared" si="6"/>
        <v>0</v>
      </c>
      <c r="E107" s="747">
        <f t="shared" si="7"/>
        <v>0</v>
      </c>
      <c r="F107" s="748">
        <f>F106-D107</f>
        <v>0</v>
      </c>
      <c r="G107" s="747">
        <f t="shared" si="11"/>
        <v>0</v>
      </c>
      <c r="H107" s="750">
        <f t="shared" si="5"/>
        <v>0</v>
      </c>
      <c r="I107" s="688"/>
      <c r="J107" s="688"/>
      <c r="K107" s="688">
        <f t="shared" ref="K107:K163" si="13">YEAR(B107)</f>
        <v>2031</v>
      </c>
      <c r="L107" s="688"/>
    </row>
    <row r="108" spans="1:12" ht="15.75" thickBot="1" x14ac:dyDescent="0.3">
      <c r="A108" s="478">
        <v>44397</v>
      </c>
      <c r="B108" s="763">
        <v>47899</v>
      </c>
      <c r="C108" s="746">
        <f t="shared" si="9"/>
        <v>31</v>
      </c>
      <c r="D108" s="747">
        <f t="shared" si="6"/>
        <v>0</v>
      </c>
      <c r="E108" s="747">
        <f t="shared" si="7"/>
        <v>0</v>
      </c>
      <c r="F108" s="748">
        <f>F107-D108</f>
        <v>0</v>
      </c>
      <c r="G108" s="747">
        <f t="shared" si="11"/>
        <v>0</v>
      </c>
      <c r="H108" s="750">
        <f t="shared" ref="H108:H171" si="14">$H$43</f>
        <v>0</v>
      </c>
      <c r="I108" s="688"/>
      <c r="J108" s="688"/>
      <c r="K108" s="688">
        <f t="shared" si="13"/>
        <v>2031</v>
      </c>
      <c r="L108" s="688"/>
    </row>
    <row r="109" spans="1:12" x14ac:dyDescent="0.25">
      <c r="A109" s="477">
        <v>44428</v>
      </c>
      <c r="B109" s="764">
        <v>47927</v>
      </c>
      <c r="C109" s="746">
        <f t="shared" si="9"/>
        <v>28</v>
      </c>
      <c r="D109" s="747">
        <f t="shared" si="6"/>
        <v>0</v>
      </c>
      <c r="E109" s="747">
        <f t="shared" si="7"/>
        <v>0</v>
      </c>
      <c r="F109" s="748">
        <f t="shared" ref="F109:F113" si="15">F108-D109</f>
        <v>0</v>
      </c>
      <c r="G109" s="747">
        <f t="shared" si="11"/>
        <v>0</v>
      </c>
      <c r="H109" s="750">
        <f t="shared" si="14"/>
        <v>0</v>
      </c>
      <c r="I109" s="688"/>
      <c r="J109" s="688"/>
      <c r="K109" s="688">
        <f t="shared" si="13"/>
        <v>2031</v>
      </c>
      <c r="L109" s="688"/>
    </row>
    <row r="110" spans="1:12" ht="15.75" thickBot="1" x14ac:dyDescent="0.3">
      <c r="A110" s="478">
        <v>44459</v>
      </c>
      <c r="B110" s="763">
        <v>47958</v>
      </c>
      <c r="C110" s="746">
        <f t="shared" si="9"/>
        <v>31</v>
      </c>
      <c r="D110" s="747">
        <f t="shared" si="6"/>
        <v>0</v>
      </c>
      <c r="E110" s="747">
        <f t="shared" si="7"/>
        <v>0</v>
      </c>
      <c r="F110" s="748">
        <f t="shared" si="15"/>
        <v>0</v>
      </c>
      <c r="G110" s="747">
        <f t="shared" si="11"/>
        <v>0</v>
      </c>
      <c r="H110" s="750">
        <f t="shared" si="14"/>
        <v>0</v>
      </c>
      <c r="I110" s="688"/>
      <c r="J110" s="688"/>
      <c r="K110" s="688">
        <f t="shared" si="13"/>
        <v>2031</v>
      </c>
      <c r="L110" s="688"/>
    </row>
    <row r="111" spans="1:12" x14ac:dyDescent="0.25">
      <c r="A111" s="477">
        <v>44489</v>
      </c>
      <c r="B111" s="764">
        <v>47988</v>
      </c>
      <c r="C111" s="746">
        <f t="shared" si="9"/>
        <v>30</v>
      </c>
      <c r="D111" s="747">
        <f t="shared" si="6"/>
        <v>0</v>
      </c>
      <c r="E111" s="747">
        <f t="shared" si="7"/>
        <v>0</v>
      </c>
      <c r="F111" s="748">
        <f t="shared" si="15"/>
        <v>0</v>
      </c>
      <c r="G111" s="747">
        <f t="shared" si="11"/>
        <v>0</v>
      </c>
      <c r="H111" s="750">
        <f t="shared" si="14"/>
        <v>0</v>
      </c>
      <c r="I111" s="688"/>
      <c r="J111" s="688"/>
      <c r="K111" s="688">
        <f t="shared" si="13"/>
        <v>2031</v>
      </c>
      <c r="L111" s="688"/>
    </row>
    <row r="112" spans="1:12" ht="15.75" thickBot="1" x14ac:dyDescent="0.3">
      <c r="A112" s="478">
        <v>44520</v>
      </c>
      <c r="B112" s="763">
        <v>48019</v>
      </c>
      <c r="C112" s="746">
        <f t="shared" si="9"/>
        <v>31</v>
      </c>
      <c r="D112" s="747">
        <f t="shared" si="6"/>
        <v>0</v>
      </c>
      <c r="E112" s="747">
        <f t="shared" si="7"/>
        <v>0</v>
      </c>
      <c r="F112" s="748">
        <f t="shared" si="15"/>
        <v>0</v>
      </c>
      <c r="G112" s="747">
        <f t="shared" si="11"/>
        <v>0</v>
      </c>
      <c r="H112" s="750">
        <f t="shared" si="14"/>
        <v>0</v>
      </c>
      <c r="I112" s="688"/>
      <c r="J112" s="688"/>
      <c r="K112" s="688">
        <f t="shared" si="13"/>
        <v>2031</v>
      </c>
      <c r="L112" s="688"/>
    </row>
    <row r="113" spans="1:12" x14ac:dyDescent="0.25">
      <c r="A113" s="477">
        <v>44550</v>
      </c>
      <c r="B113" s="764">
        <v>48049</v>
      </c>
      <c r="C113" s="746">
        <f t="shared" si="9"/>
        <v>30</v>
      </c>
      <c r="D113" s="747">
        <f t="shared" ref="D113:D176" si="16">IF(F112&lt;=0.1,0,$F$42/$G$39)</f>
        <v>0</v>
      </c>
      <c r="E113" s="747">
        <f t="shared" si="7"/>
        <v>0</v>
      </c>
      <c r="F113" s="748">
        <f t="shared" si="15"/>
        <v>0</v>
      </c>
      <c r="G113" s="747">
        <f t="shared" si="11"/>
        <v>0</v>
      </c>
      <c r="H113" s="750">
        <f t="shared" si="14"/>
        <v>0</v>
      </c>
      <c r="I113" s="688"/>
      <c r="J113" s="688"/>
      <c r="K113" s="688">
        <f t="shared" si="13"/>
        <v>2031</v>
      </c>
      <c r="L113" s="688"/>
    </row>
    <row r="114" spans="1:12" ht="15.75" thickBot="1" x14ac:dyDescent="0.3">
      <c r="A114" s="478">
        <v>44581</v>
      </c>
      <c r="B114" s="763">
        <v>48080</v>
      </c>
      <c r="C114" s="746">
        <f t="shared" si="9"/>
        <v>31</v>
      </c>
      <c r="D114" s="747">
        <f t="shared" si="16"/>
        <v>0</v>
      </c>
      <c r="E114" s="747">
        <f t="shared" si="7"/>
        <v>0</v>
      </c>
      <c r="F114" s="748">
        <f>F113-D114</f>
        <v>0</v>
      </c>
      <c r="G114" s="747">
        <f t="shared" si="11"/>
        <v>0</v>
      </c>
      <c r="H114" s="750">
        <f t="shared" si="14"/>
        <v>0</v>
      </c>
      <c r="I114" s="745">
        <f>I102+I103</f>
        <v>0</v>
      </c>
      <c r="J114" s="745">
        <f>J102+J103</f>
        <v>0</v>
      </c>
      <c r="K114" s="688">
        <f t="shared" si="13"/>
        <v>2031</v>
      </c>
      <c r="L114" s="688"/>
    </row>
    <row r="115" spans="1:12" x14ac:dyDescent="0.25">
      <c r="A115" s="477">
        <v>44612</v>
      </c>
      <c r="B115" s="764">
        <v>48111</v>
      </c>
      <c r="C115" s="746">
        <f t="shared" si="9"/>
        <v>31</v>
      </c>
      <c r="D115" s="747">
        <f t="shared" si="16"/>
        <v>0</v>
      </c>
      <c r="E115" s="747">
        <f t="shared" si="7"/>
        <v>0</v>
      </c>
      <c r="F115" s="748">
        <f t="shared" ref="F115:F118" si="17">F114-D115</f>
        <v>0</v>
      </c>
      <c r="G115" s="747">
        <f t="shared" si="11"/>
        <v>0</v>
      </c>
      <c r="H115" s="750">
        <f t="shared" si="14"/>
        <v>0</v>
      </c>
      <c r="I115" s="745">
        <f>SUMIF(K$42:K$162,L115,D$42:D$162)</f>
        <v>0</v>
      </c>
      <c r="J115" s="745">
        <f>SUMIF(K$42:K$162,L115,E$42:E$162)</f>
        <v>0</v>
      </c>
      <c r="K115" s="688">
        <f t="shared" si="13"/>
        <v>2031</v>
      </c>
      <c r="L115" s="688">
        <f>L103+1</f>
        <v>2031</v>
      </c>
    </row>
    <row r="116" spans="1:12" ht="15.75" thickBot="1" x14ac:dyDescent="0.3">
      <c r="A116" s="478">
        <v>44640</v>
      </c>
      <c r="B116" s="763">
        <v>48141</v>
      </c>
      <c r="C116" s="746">
        <f t="shared" si="9"/>
        <v>30</v>
      </c>
      <c r="D116" s="747">
        <f t="shared" si="16"/>
        <v>0</v>
      </c>
      <c r="E116" s="747">
        <f t="shared" si="7"/>
        <v>0</v>
      </c>
      <c r="F116" s="748">
        <f t="shared" si="17"/>
        <v>0</v>
      </c>
      <c r="G116" s="747">
        <f t="shared" si="11"/>
        <v>0</v>
      </c>
      <c r="H116" s="750">
        <f t="shared" si="14"/>
        <v>0</v>
      </c>
      <c r="I116" s="745"/>
      <c r="J116" s="745"/>
      <c r="K116" s="688">
        <f t="shared" si="13"/>
        <v>2031</v>
      </c>
      <c r="L116" s="688"/>
    </row>
    <row r="117" spans="1:12" x14ac:dyDescent="0.25">
      <c r="A117" s="477">
        <v>44671</v>
      </c>
      <c r="B117" s="764">
        <v>48172</v>
      </c>
      <c r="C117" s="746">
        <f t="shared" si="9"/>
        <v>31</v>
      </c>
      <c r="D117" s="747">
        <f t="shared" si="16"/>
        <v>0</v>
      </c>
      <c r="E117" s="747">
        <f t="shared" si="7"/>
        <v>0</v>
      </c>
      <c r="F117" s="748">
        <f t="shared" si="17"/>
        <v>0</v>
      </c>
      <c r="G117" s="747">
        <f t="shared" si="11"/>
        <v>0</v>
      </c>
      <c r="H117" s="750">
        <f t="shared" si="14"/>
        <v>0</v>
      </c>
      <c r="I117" s="688"/>
      <c r="J117" s="688"/>
      <c r="K117" s="688">
        <f t="shared" si="13"/>
        <v>2031</v>
      </c>
      <c r="L117" s="688"/>
    </row>
    <row r="118" spans="1:12" ht="15.75" thickBot="1" x14ac:dyDescent="0.3">
      <c r="A118" s="478">
        <v>44701</v>
      </c>
      <c r="B118" s="763">
        <v>48202</v>
      </c>
      <c r="C118" s="746">
        <f t="shared" si="9"/>
        <v>30</v>
      </c>
      <c r="D118" s="747">
        <f t="shared" si="16"/>
        <v>0</v>
      </c>
      <c r="E118" s="747">
        <f t="shared" si="7"/>
        <v>0</v>
      </c>
      <c r="F118" s="748">
        <f t="shared" si="17"/>
        <v>0</v>
      </c>
      <c r="G118" s="747">
        <f t="shared" si="11"/>
        <v>0</v>
      </c>
      <c r="H118" s="750">
        <f t="shared" si="14"/>
        <v>0</v>
      </c>
      <c r="I118" s="688"/>
      <c r="J118" s="688"/>
      <c r="K118" s="688">
        <f t="shared" si="13"/>
        <v>2031</v>
      </c>
      <c r="L118" s="688"/>
    </row>
    <row r="119" spans="1:12" x14ac:dyDescent="0.25">
      <c r="A119" s="477">
        <v>44732</v>
      </c>
      <c r="B119" s="764">
        <v>48233</v>
      </c>
      <c r="C119" s="746">
        <f>B119-B118</f>
        <v>31</v>
      </c>
      <c r="D119" s="747">
        <f t="shared" si="16"/>
        <v>0</v>
      </c>
      <c r="E119" s="747">
        <f t="shared" ref="E119:E182" si="18">IF(D119&lt;0.1,0,(F118*C119*H119/36500))</f>
        <v>0</v>
      </c>
      <c r="F119" s="748">
        <f>F118-D119</f>
        <v>0</v>
      </c>
      <c r="G119" s="747">
        <f t="shared" si="11"/>
        <v>0</v>
      </c>
      <c r="H119" s="750">
        <f t="shared" si="14"/>
        <v>0</v>
      </c>
      <c r="I119" s="688"/>
      <c r="J119" s="688"/>
      <c r="K119" s="688">
        <f t="shared" si="13"/>
        <v>2032</v>
      </c>
      <c r="L119" s="688"/>
    </row>
    <row r="120" spans="1:12" ht="15.75" thickBot="1" x14ac:dyDescent="0.3">
      <c r="A120" s="478">
        <v>44762</v>
      </c>
      <c r="B120" s="763">
        <v>48264</v>
      </c>
      <c r="C120" s="746">
        <f>B120-B119</f>
        <v>31</v>
      </c>
      <c r="D120" s="747">
        <f t="shared" si="16"/>
        <v>0</v>
      </c>
      <c r="E120" s="747">
        <f t="shared" si="18"/>
        <v>0</v>
      </c>
      <c r="F120" s="748">
        <f>F119-D120</f>
        <v>0</v>
      </c>
      <c r="G120" s="747">
        <f>D120+E120</f>
        <v>0</v>
      </c>
      <c r="H120" s="750">
        <f t="shared" si="14"/>
        <v>0</v>
      </c>
      <c r="I120" s="688"/>
      <c r="J120" s="688"/>
      <c r="K120" s="688">
        <f t="shared" si="13"/>
        <v>2032</v>
      </c>
      <c r="L120" s="688"/>
    </row>
    <row r="121" spans="1:12" x14ac:dyDescent="0.25">
      <c r="A121" s="477">
        <v>44793</v>
      </c>
      <c r="B121" s="764">
        <v>48293</v>
      </c>
      <c r="C121" s="746">
        <f>B121-B120</f>
        <v>29</v>
      </c>
      <c r="D121" s="747">
        <f t="shared" si="16"/>
        <v>0</v>
      </c>
      <c r="E121" s="747">
        <f t="shared" si="18"/>
        <v>0</v>
      </c>
      <c r="F121" s="748">
        <f>F120-D121</f>
        <v>0</v>
      </c>
      <c r="G121" s="747">
        <f t="shared" ref="G121:G184" si="19">D121+E121</f>
        <v>0</v>
      </c>
      <c r="H121" s="750">
        <f t="shared" si="14"/>
        <v>0</v>
      </c>
      <c r="I121" s="688"/>
      <c r="J121" s="688"/>
      <c r="K121" s="688">
        <f t="shared" si="13"/>
        <v>2032</v>
      </c>
      <c r="L121" s="688"/>
    </row>
    <row r="122" spans="1:12" ht="15.75" thickBot="1" x14ac:dyDescent="0.3">
      <c r="A122" s="478">
        <v>44824</v>
      </c>
      <c r="B122" s="763">
        <v>48324</v>
      </c>
      <c r="C122" s="746">
        <f t="shared" ref="C122:C185" si="20">B122-B121</f>
        <v>31</v>
      </c>
      <c r="D122" s="747">
        <f t="shared" si="16"/>
        <v>0</v>
      </c>
      <c r="E122" s="747">
        <f t="shared" si="18"/>
        <v>0</v>
      </c>
      <c r="F122" s="748">
        <f t="shared" ref="F122:F125" si="21">F121-D122</f>
        <v>0</v>
      </c>
      <c r="G122" s="747">
        <f t="shared" si="19"/>
        <v>0</v>
      </c>
      <c r="H122" s="750">
        <f t="shared" si="14"/>
        <v>0</v>
      </c>
      <c r="I122" s="688"/>
      <c r="J122" s="688"/>
      <c r="K122" s="688">
        <f t="shared" si="13"/>
        <v>2032</v>
      </c>
      <c r="L122" s="688"/>
    </row>
    <row r="123" spans="1:12" x14ac:dyDescent="0.25">
      <c r="A123" s="477">
        <v>44854</v>
      </c>
      <c r="B123" s="764">
        <v>48354</v>
      </c>
      <c r="C123" s="746">
        <f t="shared" si="20"/>
        <v>30</v>
      </c>
      <c r="D123" s="747">
        <f t="shared" si="16"/>
        <v>0</v>
      </c>
      <c r="E123" s="747">
        <f t="shared" si="18"/>
        <v>0</v>
      </c>
      <c r="F123" s="748">
        <f t="shared" si="21"/>
        <v>0</v>
      </c>
      <c r="G123" s="747">
        <f t="shared" si="19"/>
        <v>0</v>
      </c>
      <c r="H123" s="750">
        <f t="shared" si="14"/>
        <v>0</v>
      </c>
      <c r="I123" s="688"/>
      <c r="J123" s="688"/>
      <c r="K123" s="688">
        <f t="shared" si="13"/>
        <v>2032</v>
      </c>
      <c r="L123" s="688"/>
    </row>
    <row r="124" spans="1:12" ht="15.75" thickBot="1" x14ac:dyDescent="0.3">
      <c r="A124" s="478">
        <v>44885</v>
      </c>
      <c r="B124" s="763">
        <v>48385</v>
      </c>
      <c r="C124" s="746">
        <f t="shared" si="20"/>
        <v>31</v>
      </c>
      <c r="D124" s="747">
        <f t="shared" si="16"/>
        <v>0</v>
      </c>
      <c r="E124" s="747">
        <f t="shared" si="18"/>
        <v>0</v>
      </c>
      <c r="F124" s="748">
        <f t="shared" si="21"/>
        <v>0</v>
      </c>
      <c r="G124" s="747">
        <f t="shared" si="19"/>
        <v>0</v>
      </c>
      <c r="H124" s="750">
        <f t="shared" si="14"/>
        <v>0</v>
      </c>
      <c r="I124" s="688"/>
      <c r="J124" s="688"/>
      <c r="K124" s="688">
        <f t="shared" si="13"/>
        <v>2032</v>
      </c>
      <c r="L124" s="688"/>
    </row>
    <row r="125" spans="1:12" x14ac:dyDescent="0.25">
      <c r="A125" s="477">
        <v>44915</v>
      </c>
      <c r="B125" s="764">
        <v>48415</v>
      </c>
      <c r="C125" s="746">
        <f t="shared" si="20"/>
        <v>30</v>
      </c>
      <c r="D125" s="747">
        <f t="shared" si="16"/>
        <v>0</v>
      </c>
      <c r="E125" s="747">
        <f t="shared" si="18"/>
        <v>0</v>
      </c>
      <c r="F125" s="748">
        <f t="shared" si="21"/>
        <v>0</v>
      </c>
      <c r="G125" s="747">
        <f t="shared" si="19"/>
        <v>0</v>
      </c>
      <c r="H125" s="750">
        <f t="shared" si="14"/>
        <v>0</v>
      </c>
      <c r="I125" s="688"/>
      <c r="J125" s="688"/>
      <c r="K125" s="688">
        <f t="shared" si="13"/>
        <v>2032</v>
      </c>
      <c r="L125" s="688"/>
    </row>
    <row r="126" spans="1:12" ht="15.75" thickBot="1" x14ac:dyDescent="0.3">
      <c r="A126" s="478">
        <v>44946</v>
      </c>
      <c r="B126" s="763">
        <v>48446</v>
      </c>
      <c r="C126" s="746">
        <f t="shared" si="20"/>
        <v>31</v>
      </c>
      <c r="D126" s="747">
        <f t="shared" si="16"/>
        <v>0</v>
      </c>
      <c r="E126" s="747">
        <f t="shared" si="18"/>
        <v>0</v>
      </c>
      <c r="F126" s="748">
        <f>F125-D126</f>
        <v>0</v>
      </c>
      <c r="G126" s="747">
        <f t="shared" si="19"/>
        <v>0</v>
      </c>
      <c r="H126" s="750">
        <f t="shared" si="14"/>
        <v>0</v>
      </c>
      <c r="I126" s="745">
        <f>I114+I115</f>
        <v>0</v>
      </c>
      <c r="J126" s="745">
        <f>J114+J115</f>
        <v>0</v>
      </c>
      <c r="K126" s="688">
        <f t="shared" si="13"/>
        <v>2032</v>
      </c>
      <c r="L126" s="688"/>
    </row>
    <row r="127" spans="1:12" x14ac:dyDescent="0.25">
      <c r="A127" s="477">
        <v>44977</v>
      </c>
      <c r="B127" s="764">
        <v>48477</v>
      </c>
      <c r="C127" s="746">
        <f t="shared" si="20"/>
        <v>31</v>
      </c>
      <c r="D127" s="747">
        <f t="shared" si="16"/>
        <v>0</v>
      </c>
      <c r="E127" s="747">
        <f t="shared" si="18"/>
        <v>0</v>
      </c>
      <c r="F127" s="748">
        <f t="shared" ref="F127:F137" si="22">F126-D127</f>
        <v>0</v>
      </c>
      <c r="G127" s="747">
        <f t="shared" si="19"/>
        <v>0</v>
      </c>
      <c r="H127" s="750">
        <f t="shared" si="14"/>
        <v>0</v>
      </c>
      <c r="I127" s="745">
        <f>SUMIF(K$42:K$162,L127,D$42:D$162)</f>
        <v>0</v>
      </c>
      <c r="J127" s="745">
        <f>SUMIF(K$42:K$162,L127,E$42:E$162)</f>
        <v>0</v>
      </c>
      <c r="K127" s="688">
        <f t="shared" si="13"/>
        <v>2032</v>
      </c>
      <c r="L127" s="688">
        <f>L115+1</f>
        <v>2032</v>
      </c>
    </row>
    <row r="128" spans="1:12" ht="15.75" thickBot="1" x14ac:dyDescent="0.3">
      <c r="A128" s="478">
        <v>45005</v>
      </c>
      <c r="B128" s="763">
        <v>48507</v>
      </c>
      <c r="C128" s="746">
        <f t="shared" si="20"/>
        <v>30</v>
      </c>
      <c r="D128" s="747">
        <f t="shared" si="16"/>
        <v>0</v>
      </c>
      <c r="E128" s="747">
        <f t="shared" si="18"/>
        <v>0</v>
      </c>
      <c r="F128" s="748">
        <f t="shared" si="22"/>
        <v>0</v>
      </c>
      <c r="G128" s="747">
        <f t="shared" si="19"/>
        <v>0</v>
      </c>
      <c r="H128" s="750">
        <f t="shared" si="14"/>
        <v>0</v>
      </c>
      <c r="I128" s="745"/>
      <c r="J128" s="745"/>
      <c r="K128" s="688">
        <f t="shared" si="13"/>
        <v>2032</v>
      </c>
      <c r="L128" s="688"/>
    </row>
    <row r="129" spans="1:12" x14ac:dyDescent="0.25">
      <c r="A129" s="477">
        <v>45036</v>
      </c>
      <c r="B129" s="764">
        <v>48538</v>
      </c>
      <c r="C129" s="746">
        <f t="shared" si="20"/>
        <v>31</v>
      </c>
      <c r="D129" s="747">
        <f t="shared" si="16"/>
        <v>0</v>
      </c>
      <c r="E129" s="747">
        <f t="shared" si="18"/>
        <v>0</v>
      </c>
      <c r="F129" s="748">
        <f t="shared" si="22"/>
        <v>0</v>
      </c>
      <c r="G129" s="747">
        <f t="shared" si="19"/>
        <v>0</v>
      </c>
      <c r="H129" s="750">
        <f t="shared" si="14"/>
        <v>0</v>
      </c>
      <c r="I129" s="688"/>
      <c r="J129" s="688"/>
      <c r="K129" s="688">
        <f t="shared" si="13"/>
        <v>2032</v>
      </c>
      <c r="L129" s="688"/>
    </row>
    <row r="130" spans="1:12" ht="15.75" thickBot="1" x14ac:dyDescent="0.3">
      <c r="A130" s="478">
        <v>45066</v>
      </c>
      <c r="B130" s="763">
        <v>48568</v>
      </c>
      <c r="C130" s="746">
        <f t="shared" si="20"/>
        <v>30</v>
      </c>
      <c r="D130" s="747">
        <f t="shared" si="16"/>
        <v>0</v>
      </c>
      <c r="E130" s="747">
        <f t="shared" si="18"/>
        <v>0</v>
      </c>
      <c r="F130" s="748">
        <f t="shared" si="22"/>
        <v>0</v>
      </c>
      <c r="G130" s="747">
        <f t="shared" si="19"/>
        <v>0</v>
      </c>
      <c r="H130" s="750">
        <f t="shared" si="14"/>
        <v>0</v>
      </c>
      <c r="I130" s="688"/>
      <c r="J130" s="688"/>
      <c r="K130" s="688">
        <f t="shared" si="13"/>
        <v>2032</v>
      </c>
      <c r="L130" s="688"/>
    </row>
    <row r="131" spans="1:12" x14ac:dyDescent="0.25">
      <c r="A131" s="477">
        <v>45097</v>
      </c>
      <c r="B131" s="764">
        <v>48599</v>
      </c>
      <c r="C131" s="746">
        <f t="shared" si="20"/>
        <v>31</v>
      </c>
      <c r="D131" s="747">
        <f t="shared" si="16"/>
        <v>0</v>
      </c>
      <c r="E131" s="747">
        <f t="shared" si="18"/>
        <v>0</v>
      </c>
      <c r="F131" s="748">
        <f t="shared" si="22"/>
        <v>0</v>
      </c>
      <c r="G131" s="747">
        <f t="shared" si="19"/>
        <v>0</v>
      </c>
      <c r="H131" s="750">
        <f t="shared" si="14"/>
        <v>0</v>
      </c>
      <c r="I131" s="688"/>
      <c r="J131" s="688"/>
      <c r="K131" s="688">
        <f t="shared" si="13"/>
        <v>2033</v>
      </c>
      <c r="L131" s="688"/>
    </row>
    <row r="132" spans="1:12" ht="15.75" thickBot="1" x14ac:dyDescent="0.3">
      <c r="A132" s="478">
        <v>45127</v>
      </c>
      <c r="B132" s="763">
        <v>48630</v>
      </c>
      <c r="C132" s="746">
        <f t="shared" si="20"/>
        <v>31</v>
      </c>
      <c r="D132" s="747">
        <f t="shared" si="16"/>
        <v>0</v>
      </c>
      <c r="E132" s="747">
        <f t="shared" si="18"/>
        <v>0</v>
      </c>
      <c r="F132" s="748">
        <f t="shared" si="22"/>
        <v>0</v>
      </c>
      <c r="G132" s="747">
        <f t="shared" si="19"/>
        <v>0</v>
      </c>
      <c r="H132" s="750">
        <f t="shared" si="14"/>
        <v>0</v>
      </c>
      <c r="I132" s="688"/>
      <c r="J132" s="688"/>
      <c r="K132" s="688">
        <f t="shared" si="13"/>
        <v>2033</v>
      </c>
      <c r="L132" s="688"/>
    </row>
    <row r="133" spans="1:12" x14ac:dyDescent="0.25">
      <c r="A133" s="477">
        <v>45158</v>
      </c>
      <c r="B133" s="764">
        <v>48658</v>
      </c>
      <c r="C133" s="746">
        <f t="shared" si="20"/>
        <v>28</v>
      </c>
      <c r="D133" s="747">
        <f t="shared" si="16"/>
        <v>0</v>
      </c>
      <c r="E133" s="747">
        <f t="shared" si="18"/>
        <v>0</v>
      </c>
      <c r="F133" s="748">
        <f t="shared" si="22"/>
        <v>0</v>
      </c>
      <c r="G133" s="747">
        <f t="shared" si="19"/>
        <v>0</v>
      </c>
      <c r="H133" s="750">
        <f t="shared" si="14"/>
        <v>0</v>
      </c>
      <c r="I133" s="688"/>
      <c r="J133" s="688"/>
      <c r="K133" s="688">
        <f t="shared" si="13"/>
        <v>2033</v>
      </c>
      <c r="L133" s="688"/>
    </row>
    <row r="134" spans="1:12" ht="15.75" thickBot="1" x14ac:dyDescent="0.3">
      <c r="A134" s="478">
        <v>45189</v>
      </c>
      <c r="B134" s="763">
        <v>48689</v>
      </c>
      <c r="C134" s="746">
        <f t="shared" si="20"/>
        <v>31</v>
      </c>
      <c r="D134" s="747">
        <f t="shared" si="16"/>
        <v>0</v>
      </c>
      <c r="E134" s="747">
        <f t="shared" si="18"/>
        <v>0</v>
      </c>
      <c r="F134" s="748">
        <f t="shared" si="22"/>
        <v>0</v>
      </c>
      <c r="G134" s="747">
        <f t="shared" si="19"/>
        <v>0</v>
      </c>
      <c r="H134" s="750">
        <f t="shared" si="14"/>
        <v>0</v>
      </c>
      <c r="I134" s="688"/>
      <c r="J134" s="688"/>
      <c r="K134" s="688">
        <f t="shared" si="13"/>
        <v>2033</v>
      </c>
      <c r="L134" s="688"/>
    </row>
    <row r="135" spans="1:12" x14ac:dyDescent="0.25">
      <c r="A135" s="477">
        <v>45219</v>
      </c>
      <c r="B135" s="764">
        <v>48719</v>
      </c>
      <c r="C135" s="746">
        <f t="shared" si="20"/>
        <v>30</v>
      </c>
      <c r="D135" s="747">
        <f t="shared" si="16"/>
        <v>0</v>
      </c>
      <c r="E135" s="747">
        <f t="shared" si="18"/>
        <v>0</v>
      </c>
      <c r="F135" s="748">
        <f t="shared" si="22"/>
        <v>0</v>
      </c>
      <c r="G135" s="747">
        <f t="shared" si="19"/>
        <v>0</v>
      </c>
      <c r="H135" s="750">
        <f t="shared" si="14"/>
        <v>0</v>
      </c>
      <c r="I135" s="688"/>
      <c r="J135" s="688"/>
      <c r="K135" s="688">
        <f t="shared" si="13"/>
        <v>2033</v>
      </c>
      <c r="L135" s="688"/>
    </row>
    <row r="136" spans="1:12" ht="15.75" thickBot="1" x14ac:dyDescent="0.3">
      <c r="A136" s="478">
        <v>45250</v>
      </c>
      <c r="B136" s="763">
        <v>48750</v>
      </c>
      <c r="C136" s="746">
        <f t="shared" si="20"/>
        <v>31</v>
      </c>
      <c r="D136" s="747">
        <f t="shared" si="16"/>
        <v>0</v>
      </c>
      <c r="E136" s="747">
        <f t="shared" si="18"/>
        <v>0</v>
      </c>
      <c r="F136" s="748">
        <f t="shared" si="22"/>
        <v>0</v>
      </c>
      <c r="G136" s="747">
        <f t="shared" si="19"/>
        <v>0</v>
      </c>
      <c r="H136" s="750">
        <f t="shared" si="14"/>
        <v>0</v>
      </c>
      <c r="I136" s="688"/>
      <c r="J136" s="688"/>
      <c r="K136" s="688">
        <f t="shared" si="13"/>
        <v>2033</v>
      </c>
      <c r="L136" s="688"/>
    </row>
    <row r="137" spans="1:12" x14ac:dyDescent="0.25">
      <c r="A137" s="477">
        <v>45280</v>
      </c>
      <c r="B137" s="764">
        <v>48780</v>
      </c>
      <c r="C137" s="746">
        <f t="shared" si="20"/>
        <v>30</v>
      </c>
      <c r="D137" s="747">
        <f t="shared" si="16"/>
        <v>0</v>
      </c>
      <c r="E137" s="747">
        <f t="shared" si="18"/>
        <v>0</v>
      </c>
      <c r="F137" s="748">
        <f t="shared" si="22"/>
        <v>0</v>
      </c>
      <c r="G137" s="747">
        <f t="shared" si="19"/>
        <v>0</v>
      </c>
      <c r="H137" s="750">
        <f t="shared" si="14"/>
        <v>0</v>
      </c>
      <c r="I137" s="688"/>
      <c r="J137" s="688"/>
      <c r="K137" s="688">
        <f t="shared" si="13"/>
        <v>2033</v>
      </c>
      <c r="L137" s="688"/>
    </row>
    <row r="138" spans="1:12" ht="15.75" thickBot="1" x14ac:dyDescent="0.3">
      <c r="A138" s="478">
        <v>45311</v>
      </c>
      <c r="B138" s="763">
        <v>48811</v>
      </c>
      <c r="C138" s="746">
        <f t="shared" si="20"/>
        <v>31</v>
      </c>
      <c r="D138" s="747">
        <f t="shared" si="16"/>
        <v>0</v>
      </c>
      <c r="E138" s="747">
        <f t="shared" si="18"/>
        <v>0</v>
      </c>
      <c r="F138" s="748">
        <f>F137-D138</f>
        <v>0</v>
      </c>
      <c r="G138" s="747">
        <f t="shared" si="19"/>
        <v>0</v>
      </c>
      <c r="H138" s="750">
        <f t="shared" si="14"/>
        <v>0</v>
      </c>
      <c r="I138" s="745">
        <f>I126+I127</f>
        <v>0</v>
      </c>
      <c r="J138" s="745">
        <f>J126+J127</f>
        <v>0</v>
      </c>
      <c r="K138" s="688">
        <f t="shared" si="13"/>
        <v>2033</v>
      </c>
      <c r="L138" s="688"/>
    </row>
    <row r="139" spans="1:12" x14ac:dyDescent="0.25">
      <c r="A139" s="477">
        <v>45342</v>
      </c>
      <c r="B139" s="764">
        <v>48842</v>
      </c>
      <c r="C139" s="746">
        <f t="shared" si="20"/>
        <v>31</v>
      </c>
      <c r="D139" s="747">
        <f t="shared" si="16"/>
        <v>0</v>
      </c>
      <c r="E139" s="747">
        <f t="shared" si="18"/>
        <v>0</v>
      </c>
      <c r="F139" s="748">
        <f t="shared" ref="F139:F202" si="23">F138-D139</f>
        <v>0</v>
      </c>
      <c r="G139" s="747">
        <f t="shared" si="19"/>
        <v>0</v>
      </c>
      <c r="H139" s="750">
        <f t="shared" si="14"/>
        <v>0</v>
      </c>
      <c r="I139" s="745">
        <f>SUMIF(K$42:K$162,L139,D$42:D$162)</f>
        <v>0</v>
      </c>
      <c r="J139" s="745">
        <f>SUMIF(K$42:K$162,L139,E$42:E$162)</f>
        <v>0</v>
      </c>
      <c r="K139" s="688">
        <f t="shared" si="13"/>
        <v>2033</v>
      </c>
      <c r="L139" s="688">
        <f>L127+1</f>
        <v>2033</v>
      </c>
    </row>
    <row r="140" spans="1:12" ht="15.75" thickBot="1" x14ac:dyDescent="0.3">
      <c r="A140" s="478">
        <v>45371</v>
      </c>
      <c r="B140" s="763">
        <v>48872</v>
      </c>
      <c r="C140" s="746">
        <f t="shared" si="20"/>
        <v>30</v>
      </c>
      <c r="D140" s="747">
        <f t="shared" si="16"/>
        <v>0</v>
      </c>
      <c r="E140" s="747">
        <f t="shared" si="18"/>
        <v>0</v>
      </c>
      <c r="F140" s="748">
        <f t="shared" si="23"/>
        <v>0</v>
      </c>
      <c r="G140" s="747">
        <f t="shared" si="19"/>
        <v>0</v>
      </c>
      <c r="H140" s="750">
        <f t="shared" si="14"/>
        <v>0</v>
      </c>
      <c r="I140" s="745"/>
      <c r="J140" s="745"/>
      <c r="K140" s="688">
        <f t="shared" si="13"/>
        <v>2033</v>
      </c>
      <c r="L140" s="688"/>
    </row>
    <row r="141" spans="1:12" x14ac:dyDescent="0.25">
      <c r="A141" s="477">
        <v>45402</v>
      </c>
      <c r="B141" s="764">
        <v>48903</v>
      </c>
      <c r="C141" s="746">
        <f t="shared" si="20"/>
        <v>31</v>
      </c>
      <c r="D141" s="747">
        <f t="shared" si="16"/>
        <v>0</v>
      </c>
      <c r="E141" s="747">
        <f t="shared" si="18"/>
        <v>0</v>
      </c>
      <c r="F141" s="748">
        <f t="shared" si="23"/>
        <v>0</v>
      </c>
      <c r="G141" s="747">
        <f t="shared" si="19"/>
        <v>0</v>
      </c>
      <c r="H141" s="750">
        <f t="shared" si="14"/>
        <v>0</v>
      </c>
      <c r="I141" s="688"/>
      <c r="J141" s="688"/>
      <c r="K141" s="688">
        <f t="shared" si="13"/>
        <v>2033</v>
      </c>
      <c r="L141" s="688"/>
    </row>
    <row r="142" spans="1:12" ht="15.75" thickBot="1" x14ac:dyDescent="0.3">
      <c r="A142" s="478">
        <v>45432</v>
      </c>
      <c r="B142" s="763">
        <v>48933</v>
      </c>
      <c r="C142" s="746">
        <f t="shared" si="20"/>
        <v>30</v>
      </c>
      <c r="D142" s="747">
        <f t="shared" si="16"/>
        <v>0</v>
      </c>
      <c r="E142" s="747">
        <f t="shared" si="18"/>
        <v>0</v>
      </c>
      <c r="F142" s="748">
        <f t="shared" si="23"/>
        <v>0</v>
      </c>
      <c r="G142" s="747">
        <f t="shared" si="19"/>
        <v>0</v>
      </c>
      <c r="H142" s="750">
        <f t="shared" si="14"/>
        <v>0</v>
      </c>
      <c r="I142" s="688"/>
      <c r="J142" s="688"/>
      <c r="K142" s="688">
        <f t="shared" si="13"/>
        <v>2033</v>
      </c>
      <c r="L142" s="688"/>
    </row>
    <row r="143" spans="1:12" x14ac:dyDescent="0.25">
      <c r="A143" s="477">
        <v>45463</v>
      </c>
      <c r="B143" s="764">
        <v>48964</v>
      </c>
      <c r="C143" s="746">
        <f t="shared" si="20"/>
        <v>31</v>
      </c>
      <c r="D143" s="747">
        <f t="shared" si="16"/>
        <v>0</v>
      </c>
      <c r="E143" s="747">
        <f t="shared" si="18"/>
        <v>0</v>
      </c>
      <c r="F143" s="748">
        <f t="shared" si="23"/>
        <v>0</v>
      </c>
      <c r="G143" s="747">
        <f t="shared" si="19"/>
        <v>0</v>
      </c>
      <c r="H143" s="750">
        <f t="shared" si="14"/>
        <v>0</v>
      </c>
      <c r="I143" s="688"/>
      <c r="J143" s="688"/>
      <c r="K143" s="688">
        <f t="shared" si="13"/>
        <v>2034</v>
      </c>
      <c r="L143" s="688"/>
    </row>
    <row r="144" spans="1:12" ht="15.75" thickBot="1" x14ac:dyDescent="0.3">
      <c r="A144" s="478">
        <v>45493</v>
      </c>
      <c r="B144" s="763">
        <v>48995</v>
      </c>
      <c r="C144" s="746">
        <f t="shared" si="20"/>
        <v>31</v>
      </c>
      <c r="D144" s="747">
        <f t="shared" si="16"/>
        <v>0</v>
      </c>
      <c r="E144" s="747">
        <f t="shared" si="18"/>
        <v>0</v>
      </c>
      <c r="F144" s="748">
        <f t="shared" si="23"/>
        <v>0</v>
      </c>
      <c r="G144" s="747">
        <f t="shared" si="19"/>
        <v>0</v>
      </c>
      <c r="H144" s="750">
        <f t="shared" si="14"/>
        <v>0</v>
      </c>
      <c r="I144" s="688"/>
      <c r="J144" s="688"/>
      <c r="K144" s="688">
        <f t="shared" si="13"/>
        <v>2034</v>
      </c>
      <c r="L144" s="688"/>
    </row>
    <row r="145" spans="1:12" x14ac:dyDescent="0.25">
      <c r="A145" s="477">
        <v>45524</v>
      </c>
      <c r="B145" s="764">
        <v>49023</v>
      </c>
      <c r="C145" s="746">
        <f t="shared" si="20"/>
        <v>28</v>
      </c>
      <c r="D145" s="747">
        <f t="shared" si="16"/>
        <v>0</v>
      </c>
      <c r="E145" s="747">
        <f t="shared" si="18"/>
        <v>0</v>
      </c>
      <c r="F145" s="748">
        <f t="shared" si="23"/>
        <v>0</v>
      </c>
      <c r="G145" s="747">
        <f t="shared" si="19"/>
        <v>0</v>
      </c>
      <c r="H145" s="750">
        <f t="shared" si="14"/>
        <v>0</v>
      </c>
      <c r="I145" s="688"/>
      <c r="J145" s="688"/>
      <c r="K145" s="688">
        <f t="shared" si="13"/>
        <v>2034</v>
      </c>
      <c r="L145" s="688"/>
    </row>
    <row r="146" spans="1:12" ht="15.75" thickBot="1" x14ac:dyDescent="0.3">
      <c r="A146" s="478">
        <v>45555</v>
      </c>
      <c r="B146" s="763">
        <v>49054</v>
      </c>
      <c r="C146" s="746">
        <f t="shared" si="20"/>
        <v>31</v>
      </c>
      <c r="D146" s="747">
        <f t="shared" si="16"/>
        <v>0</v>
      </c>
      <c r="E146" s="747">
        <f t="shared" si="18"/>
        <v>0</v>
      </c>
      <c r="F146" s="748">
        <f t="shared" si="23"/>
        <v>0</v>
      </c>
      <c r="G146" s="747">
        <f t="shared" si="19"/>
        <v>0</v>
      </c>
      <c r="H146" s="750">
        <f t="shared" si="14"/>
        <v>0</v>
      </c>
      <c r="I146" s="688"/>
      <c r="J146" s="688"/>
      <c r="K146" s="688">
        <f t="shared" si="13"/>
        <v>2034</v>
      </c>
      <c r="L146" s="688"/>
    </row>
    <row r="147" spans="1:12" x14ac:dyDescent="0.25">
      <c r="A147" s="477">
        <v>45585</v>
      </c>
      <c r="B147" s="764">
        <v>49084</v>
      </c>
      <c r="C147" s="746">
        <f t="shared" si="20"/>
        <v>30</v>
      </c>
      <c r="D147" s="747">
        <f t="shared" si="16"/>
        <v>0</v>
      </c>
      <c r="E147" s="747">
        <f t="shared" si="18"/>
        <v>0</v>
      </c>
      <c r="F147" s="748">
        <f t="shared" si="23"/>
        <v>0</v>
      </c>
      <c r="G147" s="747">
        <f t="shared" si="19"/>
        <v>0</v>
      </c>
      <c r="H147" s="750">
        <f t="shared" si="14"/>
        <v>0</v>
      </c>
      <c r="I147" s="688"/>
      <c r="J147" s="688"/>
      <c r="K147" s="688">
        <f t="shared" si="13"/>
        <v>2034</v>
      </c>
      <c r="L147" s="688"/>
    </row>
    <row r="148" spans="1:12" ht="15.75" thickBot="1" x14ac:dyDescent="0.3">
      <c r="A148" s="478">
        <v>45616</v>
      </c>
      <c r="B148" s="763">
        <v>49115</v>
      </c>
      <c r="C148" s="746">
        <f t="shared" si="20"/>
        <v>31</v>
      </c>
      <c r="D148" s="747">
        <f t="shared" si="16"/>
        <v>0</v>
      </c>
      <c r="E148" s="747">
        <f t="shared" si="18"/>
        <v>0</v>
      </c>
      <c r="F148" s="748">
        <f t="shared" si="23"/>
        <v>0</v>
      </c>
      <c r="G148" s="747">
        <f t="shared" si="19"/>
        <v>0</v>
      </c>
      <c r="H148" s="750">
        <f t="shared" si="14"/>
        <v>0</v>
      </c>
      <c r="I148" s="688"/>
      <c r="J148" s="688"/>
      <c r="K148" s="688">
        <f t="shared" si="13"/>
        <v>2034</v>
      </c>
      <c r="L148" s="688"/>
    </row>
    <row r="149" spans="1:12" x14ac:dyDescent="0.25">
      <c r="A149" s="477">
        <v>45646</v>
      </c>
      <c r="B149" s="764">
        <v>49145</v>
      </c>
      <c r="C149" s="746">
        <f t="shared" si="20"/>
        <v>30</v>
      </c>
      <c r="D149" s="747">
        <f t="shared" si="16"/>
        <v>0</v>
      </c>
      <c r="E149" s="747">
        <f t="shared" si="18"/>
        <v>0</v>
      </c>
      <c r="F149" s="748">
        <f t="shared" si="23"/>
        <v>0</v>
      </c>
      <c r="G149" s="747">
        <f t="shared" si="19"/>
        <v>0</v>
      </c>
      <c r="H149" s="750">
        <f t="shared" si="14"/>
        <v>0</v>
      </c>
      <c r="I149" s="688"/>
      <c r="J149" s="688"/>
      <c r="K149" s="688">
        <f t="shared" si="13"/>
        <v>2034</v>
      </c>
      <c r="L149" s="688"/>
    </row>
    <row r="150" spans="1:12" ht="15.75" thickBot="1" x14ac:dyDescent="0.3">
      <c r="A150" s="478">
        <v>45677</v>
      </c>
      <c r="B150" s="763">
        <v>49176</v>
      </c>
      <c r="C150" s="746">
        <f t="shared" si="20"/>
        <v>31</v>
      </c>
      <c r="D150" s="747">
        <f t="shared" si="16"/>
        <v>0</v>
      </c>
      <c r="E150" s="747">
        <f t="shared" si="18"/>
        <v>0</v>
      </c>
      <c r="F150" s="748">
        <f t="shared" si="23"/>
        <v>0</v>
      </c>
      <c r="G150" s="747">
        <f t="shared" si="19"/>
        <v>0</v>
      </c>
      <c r="H150" s="750">
        <f t="shared" si="14"/>
        <v>0</v>
      </c>
      <c r="I150" s="745">
        <f>I138+I139</f>
        <v>0</v>
      </c>
      <c r="J150" s="745">
        <f>J138+J139</f>
        <v>0</v>
      </c>
      <c r="K150" s="688">
        <f t="shared" si="13"/>
        <v>2034</v>
      </c>
      <c r="L150" s="688"/>
    </row>
    <row r="151" spans="1:12" x14ac:dyDescent="0.25">
      <c r="A151" s="477">
        <v>45708</v>
      </c>
      <c r="B151" s="764">
        <v>49207</v>
      </c>
      <c r="C151" s="746">
        <f t="shared" si="20"/>
        <v>31</v>
      </c>
      <c r="D151" s="747">
        <f t="shared" si="16"/>
        <v>0</v>
      </c>
      <c r="E151" s="747">
        <f t="shared" si="18"/>
        <v>0</v>
      </c>
      <c r="F151" s="748">
        <f t="shared" si="23"/>
        <v>0</v>
      </c>
      <c r="G151" s="747">
        <f t="shared" si="19"/>
        <v>0</v>
      </c>
      <c r="H151" s="750">
        <f t="shared" si="14"/>
        <v>0</v>
      </c>
      <c r="I151" s="745">
        <f>SUMIF(K$42:K$162,L151,D$42:D$162)</f>
        <v>0</v>
      </c>
      <c r="J151" s="745">
        <f>SUMIF(K$42:K$162,L151,E$42:E$162)</f>
        <v>0</v>
      </c>
      <c r="K151" s="688">
        <f t="shared" si="13"/>
        <v>2034</v>
      </c>
      <c r="L151" s="688">
        <f>L139+1</f>
        <v>2034</v>
      </c>
    </row>
    <row r="152" spans="1:12" ht="15.75" thickBot="1" x14ac:dyDescent="0.3">
      <c r="A152" s="478">
        <v>45736</v>
      </c>
      <c r="B152" s="763">
        <v>49237</v>
      </c>
      <c r="C152" s="746">
        <f t="shared" si="20"/>
        <v>30</v>
      </c>
      <c r="D152" s="747">
        <f t="shared" si="16"/>
        <v>0</v>
      </c>
      <c r="E152" s="747">
        <f t="shared" si="18"/>
        <v>0</v>
      </c>
      <c r="F152" s="748">
        <f t="shared" si="23"/>
        <v>0</v>
      </c>
      <c r="G152" s="747">
        <f t="shared" si="19"/>
        <v>0</v>
      </c>
      <c r="H152" s="750">
        <f t="shared" si="14"/>
        <v>0</v>
      </c>
      <c r="I152" s="745"/>
      <c r="J152" s="745"/>
      <c r="K152" s="688">
        <f t="shared" si="13"/>
        <v>2034</v>
      </c>
      <c r="L152" s="688"/>
    </row>
    <row r="153" spans="1:12" x14ac:dyDescent="0.25">
      <c r="A153" s="477">
        <v>45767</v>
      </c>
      <c r="B153" s="764">
        <v>49268</v>
      </c>
      <c r="C153" s="746">
        <f t="shared" si="20"/>
        <v>31</v>
      </c>
      <c r="D153" s="747">
        <f t="shared" si="16"/>
        <v>0</v>
      </c>
      <c r="E153" s="747">
        <f t="shared" si="18"/>
        <v>0</v>
      </c>
      <c r="F153" s="748">
        <f t="shared" si="23"/>
        <v>0</v>
      </c>
      <c r="G153" s="747">
        <f t="shared" si="19"/>
        <v>0</v>
      </c>
      <c r="H153" s="750">
        <f t="shared" si="14"/>
        <v>0</v>
      </c>
      <c r="I153" s="688"/>
      <c r="J153" s="688"/>
      <c r="K153" s="688">
        <f t="shared" si="13"/>
        <v>2034</v>
      </c>
      <c r="L153" s="688"/>
    </row>
    <row r="154" spans="1:12" ht="15.75" thickBot="1" x14ac:dyDescent="0.3">
      <c r="A154" s="478">
        <v>45797</v>
      </c>
      <c r="B154" s="763">
        <v>49298</v>
      </c>
      <c r="C154" s="746">
        <f t="shared" si="20"/>
        <v>30</v>
      </c>
      <c r="D154" s="747">
        <f t="shared" si="16"/>
        <v>0</v>
      </c>
      <c r="E154" s="747">
        <f t="shared" si="18"/>
        <v>0</v>
      </c>
      <c r="F154" s="748">
        <f t="shared" si="23"/>
        <v>0</v>
      </c>
      <c r="G154" s="747">
        <f t="shared" si="19"/>
        <v>0</v>
      </c>
      <c r="H154" s="750">
        <f t="shared" si="14"/>
        <v>0</v>
      </c>
      <c r="I154" s="688"/>
      <c r="J154" s="688"/>
      <c r="K154" s="688">
        <f t="shared" si="13"/>
        <v>2034</v>
      </c>
      <c r="L154" s="688"/>
    </row>
    <row r="155" spans="1:12" x14ac:dyDescent="0.25">
      <c r="A155" s="477">
        <v>45828</v>
      </c>
      <c r="B155" s="764">
        <v>49329</v>
      </c>
      <c r="C155" s="746">
        <f t="shared" si="20"/>
        <v>31</v>
      </c>
      <c r="D155" s="747">
        <f t="shared" si="16"/>
        <v>0</v>
      </c>
      <c r="E155" s="747">
        <f t="shared" si="18"/>
        <v>0</v>
      </c>
      <c r="F155" s="748">
        <f t="shared" si="23"/>
        <v>0</v>
      </c>
      <c r="G155" s="747">
        <f t="shared" si="19"/>
        <v>0</v>
      </c>
      <c r="H155" s="750">
        <f t="shared" si="14"/>
        <v>0</v>
      </c>
      <c r="I155" s="688"/>
      <c r="J155" s="688"/>
      <c r="K155" s="688">
        <f t="shared" si="13"/>
        <v>2035</v>
      </c>
      <c r="L155" s="688"/>
    </row>
    <row r="156" spans="1:12" ht="15.75" thickBot="1" x14ac:dyDescent="0.3">
      <c r="A156" s="478">
        <v>45858</v>
      </c>
      <c r="B156" s="763">
        <v>49360</v>
      </c>
      <c r="C156" s="746">
        <f t="shared" si="20"/>
        <v>31</v>
      </c>
      <c r="D156" s="747">
        <f t="shared" si="16"/>
        <v>0</v>
      </c>
      <c r="E156" s="747">
        <f t="shared" si="18"/>
        <v>0</v>
      </c>
      <c r="F156" s="748">
        <f t="shared" si="23"/>
        <v>0</v>
      </c>
      <c r="G156" s="747">
        <f t="shared" si="19"/>
        <v>0</v>
      </c>
      <c r="H156" s="750">
        <f t="shared" si="14"/>
        <v>0</v>
      </c>
      <c r="I156" s="688"/>
      <c r="J156" s="688"/>
      <c r="K156" s="688">
        <f t="shared" si="13"/>
        <v>2035</v>
      </c>
      <c r="L156" s="688"/>
    </row>
    <row r="157" spans="1:12" x14ac:dyDescent="0.25">
      <c r="A157" s="477">
        <v>45889</v>
      </c>
      <c r="B157" s="764">
        <v>49388</v>
      </c>
      <c r="C157" s="746">
        <f t="shared" si="20"/>
        <v>28</v>
      </c>
      <c r="D157" s="747">
        <f t="shared" si="16"/>
        <v>0</v>
      </c>
      <c r="E157" s="747">
        <f t="shared" si="18"/>
        <v>0</v>
      </c>
      <c r="F157" s="748">
        <f t="shared" si="23"/>
        <v>0</v>
      </c>
      <c r="G157" s="747">
        <f t="shared" si="19"/>
        <v>0</v>
      </c>
      <c r="H157" s="750">
        <f t="shared" si="14"/>
        <v>0</v>
      </c>
      <c r="I157" s="688"/>
      <c r="J157" s="688"/>
      <c r="K157" s="688">
        <f t="shared" si="13"/>
        <v>2035</v>
      </c>
      <c r="L157" s="688"/>
    </row>
    <row r="158" spans="1:12" ht="15.75" thickBot="1" x14ac:dyDescent="0.3">
      <c r="A158" s="478">
        <v>45920</v>
      </c>
      <c r="B158" s="763">
        <v>49419</v>
      </c>
      <c r="C158" s="746">
        <f t="shared" si="20"/>
        <v>31</v>
      </c>
      <c r="D158" s="747">
        <f t="shared" si="16"/>
        <v>0</v>
      </c>
      <c r="E158" s="747">
        <f t="shared" si="18"/>
        <v>0</v>
      </c>
      <c r="F158" s="748">
        <f t="shared" si="23"/>
        <v>0</v>
      </c>
      <c r="G158" s="747">
        <f t="shared" si="19"/>
        <v>0</v>
      </c>
      <c r="H158" s="750">
        <f t="shared" si="14"/>
        <v>0</v>
      </c>
      <c r="I158" s="688"/>
      <c r="J158" s="688"/>
      <c r="K158" s="688">
        <f t="shared" si="13"/>
        <v>2035</v>
      </c>
      <c r="L158" s="688"/>
    </row>
    <row r="159" spans="1:12" x14ac:dyDescent="0.25">
      <c r="A159" s="477">
        <v>45950</v>
      </c>
      <c r="B159" s="764">
        <v>49449</v>
      </c>
      <c r="C159" s="746">
        <f t="shared" si="20"/>
        <v>30</v>
      </c>
      <c r="D159" s="747">
        <f t="shared" si="16"/>
        <v>0</v>
      </c>
      <c r="E159" s="747">
        <f t="shared" si="18"/>
        <v>0</v>
      </c>
      <c r="F159" s="748">
        <f t="shared" si="23"/>
        <v>0</v>
      </c>
      <c r="G159" s="747">
        <f t="shared" si="19"/>
        <v>0</v>
      </c>
      <c r="H159" s="750">
        <f t="shared" si="14"/>
        <v>0</v>
      </c>
      <c r="I159" s="688"/>
      <c r="J159" s="688"/>
      <c r="K159" s="688">
        <f t="shared" si="13"/>
        <v>2035</v>
      </c>
      <c r="L159" s="688"/>
    </row>
    <row r="160" spans="1:12" ht="15.75" thickBot="1" x14ac:dyDescent="0.3">
      <c r="A160" s="478">
        <v>45981</v>
      </c>
      <c r="B160" s="763">
        <v>49480</v>
      </c>
      <c r="C160" s="746">
        <f t="shared" si="20"/>
        <v>31</v>
      </c>
      <c r="D160" s="747">
        <f t="shared" si="16"/>
        <v>0</v>
      </c>
      <c r="E160" s="747">
        <f t="shared" si="18"/>
        <v>0</v>
      </c>
      <c r="F160" s="748">
        <f t="shared" si="23"/>
        <v>0</v>
      </c>
      <c r="G160" s="747">
        <f t="shared" si="19"/>
        <v>0</v>
      </c>
      <c r="H160" s="750">
        <f t="shared" si="14"/>
        <v>0</v>
      </c>
      <c r="I160" s="688"/>
      <c r="J160" s="688"/>
      <c r="K160" s="688">
        <f t="shared" si="13"/>
        <v>2035</v>
      </c>
      <c r="L160" s="688"/>
    </row>
    <row r="161" spans="1:12" x14ac:dyDescent="0.25">
      <c r="A161" s="477">
        <v>46011</v>
      </c>
      <c r="B161" s="764">
        <v>49510</v>
      </c>
      <c r="C161" s="746">
        <f t="shared" si="20"/>
        <v>30</v>
      </c>
      <c r="D161" s="747">
        <f t="shared" si="16"/>
        <v>0</v>
      </c>
      <c r="E161" s="747">
        <f t="shared" si="18"/>
        <v>0</v>
      </c>
      <c r="F161" s="748">
        <f t="shared" si="23"/>
        <v>0</v>
      </c>
      <c r="G161" s="747">
        <f t="shared" si="19"/>
        <v>0</v>
      </c>
      <c r="H161" s="750">
        <f t="shared" si="14"/>
        <v>0</v>
      </c>
      <c r="I161" s="688"/>
      <c r="J161" s="688"/>
      <c r="K161" s="688">
        <f t="shared" si="13"/>
        <v>2035</v>
      </c>
      <c r="L161" s="688"/>
    </row>
    <row r="162" spans="1:12" ht="15.75" thickBot="1" x14ac:dyDescent="0.3">
      <c r="A162" s="479">
        <v>46042</v>
      </c>
      <c r="B162" s="763">
        <v>49541</v>
      </c>
      <c r="C162" s="751">
        <f t="shared" si="20"/>
        <v>31</v>
      </c>
      <c r="D162" s="747">
        <f t="shared" si="16"/>
        <v>0</v>
      </c>
      <c r="E162" s="747">
        <f t="shared" si="18"/>
        <v>0</v>
      </c>
      <c r="F162" s="752">
        <f t="shared" si="23"/>
        <v>0</v>
      </c>
      <c r="G162" s="753">
        <f t="shared" si="19"/>
        <v>0</v>
      </c>
      <c r="H162" s="750">
        <f t="shared" si="14"/>
        <v>0</v>
      </c>
      <c r="I162" s="745">
        <f>SUMIF(K$42:K$162,L162,D$42:D$162)</f>
        <v>0</v>
      </c>
      <c r="J162" s="745">
        <f>SUMIF(K$42:K$162,L162,E$42:E$162)</f>
        <v>0</v>
      </c>
      <c r="K162" s="688">
        <f>YEAR(B162)</f>
        <v>2035</v>
      </c>
      <c r="L162" s="688">
        <f>L151+1</f>
        <v>2035</v>
      </c>
    </row>
    <row r="163" spans="1:12" x14ac:dyDescent="0.25">
      <c r="A163" s="73"/>
      <c r="B163" s="764">
        <v>49572</v>
      </c>
      <c r="C163" s="751">
        <f t="shared" si="20"/>
        <v>31</v>
      </c>
      <c r="D163" s="747">
        <f t="shared" si="16"/>
        <v>0</v>
      </c>
      <c r="E163" s="747">
        <f t="shared" si="18"/>
        <v>0</v>
      </c>
      <c r="F163" s="752">
        <f t="shared" si="23"/>
        <v>0</v>
      </c>
      <c r="G163" s="753">
        <f t="shared" si="19"/>
        <v>0</v>
      </c>
      <c r="H163" s="750">
        <f t="shared" si="14"/>
        <v>0</v>
      </c>
      <c r="I163" s="745">
        <f>I151+I150</f>
        <v>0</v>
      </c>
      <c r="J163" s="745">
        <f>J151+J150</f>
        <v>0</v>
      </c>
      <c r="K163" s="688">
        <f t="shared" si="13"/>
        <v>2035</v>
      </c>
      <c r="L163" s="688"/>
    </row>
    <row r="164" spans="1:12" ht="15.75" thickBot="1" x14ac:dyDescent="0.3">
      <c r="B164" s="763">
        <v>49602</v>
      </c>
      <c r="C164" s="751">
        <f t="shared" si="20"/>
        <v>30</v>
      </c>
      <c r="D164" s="747">
        <f t="shared" si="16"/>
        <v>0</v>
      </c>
      <c r="E164" s="747">
        <f t="shared" si="18"/>
        <v>0</v>
      </c>
      <c r="F164" s="752">
        <f t="shared" si="23"/>
        <v>0</v>
      </c>
      <c r="G164" s="753">
        <f t="shared" si="19"/>
        <v>0</v>
      </c>
      <c r="H164" s="750">
        <f t="shared" si="14"/>
        <v>0</v>
      </c>
      <c r="I164" s="745"/>
      <c r="J164" s="745"/>
      <c r="K164" s="688">
        <f>YEAR(B164)</f>
        <v>2035</v>
      </c>
      <c r="L164" s="688"/>
    </row>
    <row r="165" spans="1:12" x14ac:dyDescent="0.25">
      <c r="B165" s="764">
        <v>49633</v>
      </c>
      <c r="C165" s="751">
        <f t="shared" si="20"/>
        <v>31</v>
      </c>
      <c r="D165" s="747">
        <f t="shared" si="16"/>
        <v>0</v>
      </c>
      <c r="E165" s="747">
        <f t="shared" si="18"/>
        <v>0</v>
      </c>
      <c r="F165" s="752">
        <f t="shared" si="23"/>
        <v>0</v>
      </c>
      <c r="G165" s="753">
        <f t="shared" si="19"/>
        <v>0</v>
      </c>
      <c r="H165" s="750">
        <f t="shared" si="14"/>
        <v>0</v>
      </c>
      <c r="I165" s="688"/>
      <c r="J165" s="688"/>
      <c r="K165" s="688">
        <f t="shared" ref="K165:K228" si="24">YEAR(B165)</f>
        <v>2035</v>
      </c>
      <c r="L165" s="688"/>
    </row>
    <row r="166" spans="1:12" ht="15.75" thickBot="1" x14ac:dyDescent="0.3">
      <c r="B166" s="763">
        <v>49663</v>
      </c>
      <c r="C166" s="751">
        <f t="shared" si="20"/>
        <v>30</v>
      </c>
      <c r="D166" s="747">
        <f t="shared" si="16"/>
        <v>0</v>
      </c>
      <c r="E166" s="747">
        <f t="shared" si="18"/>
        <v>0</v>
      </c>
      <c r="F166" s="752">
        <f t="shared" si="23"/>
        <v>0</v>
      </c>
      <c r="G166" s="753">
        <f t="shared" si="19"/>
        <v>0</v>
      </c>
      <c r="H166" s="750">
        <f t="shared" si="14"/>
        <v>0</v>
      </c>
      <c r="I166" s="688"/>
      <c r="J166" s="688"/>
      <c r="K166" s="688">
        <f t="shared" si="24"/>
        <v>2035</v>
      </c>
      <c r="L166" s="688"/>
    </row>
    <row r="167" spans="1:12" x14ac:dyDescent="0.25">
      <c r="B167" s="764">
        <v>49694</v>
      </c>
      <c r="C167" s="751">
        <f t="shared" si="20"/>
        <v>31</v>
      </c>
      <c r="D167" s="747">
        <f t="shared" si="16"/>
        <v>0</v>
      </c>
      <c r="E167" s="747">
        <f t="shared" si="18"/>
        <v>0</v>
      </c>
      <c r="F167" s="752">
        <f t="shared" si="23"/>
        <v>0</v>
      </c>
      <c r="G167" s="753">
        <f t="shared" si="19"/>
        <v>0</v>
      </c>
      <c r="H167" s="750">
        <f t="shared" si="14"/>
        <v>0</v>
      </c>
      <c r="I167" s="688"/>
      <c r="J167" s="688"/>
      <c r="K167" s="688">
        <f t="shared" si="24"/>
        <v>2036</v>
      </c>
      <c r="L167" s="688"/>
    </row>
    <row r="168" spans="1:12" ht="15.75" thickBot="1" x14ac:dyDescent="0.3">
      <c r="B168" s="763">
        <v>49725</v>
      </c>
      <c r="C168" s="751">
        <f t="shared" si="20"/>
        <v>31</v>
      </c>
      <c r="D168" s="747">
        <f t="shared" si="16"/>
        <v>0</v>
      </c>
      <c r="E168" s="747">
        <f t="shared" si="18"/>
        <v>0</v>
      </c>
      <c r="F168" s="752">
        <f t="shared" si="23"/>
        <v>0</v>
      </c>
      <c r="G168" s="753">
        <f t="shared" si="19"/>
        <v>0</v>
      </c>
      <c r="H168" s="750">
        <f t="shared" si="14"/>
        <v>0</v>
      </c>
      <c r="I168" s="688"/>
      <c r="J168" s="688"/>
      <c r="K168" s="688">
        <f t="shared" si="24"/>
        <v>2036</v>
      </c>
      <c r="L168" s="688"/>
    </row>
    <row r="169" spans="1:12" x14ac:dyDescent="0.25">
      <c r="B169" s="764">
        <v>49754</v>
      </c>
      <c r="C169" s="751">
        <f t="shared" si="20"/>
        <v>29</v>
      </c>
      <c r="D169" s="747">
        <f t="shared" si="16"/>
        <v>0</v>
      </c>
      <c r="E169" s="747">
        <f t="shared" si="18"/>
        <v>0</v>
      </c>
      <c r="F169" s="752">
        <f t="shared" si="23"/>
        <v>0</v>
      </c>
      <c r="G169" s="753">
        <f t="shared" si="19"/>
        <v>0</v>
      </c>
      <c r="H169" s="750">
        <f t="shared" si="14"/>
        <v>0</v>
      </c>
      <c r="I169" s="688"/>
      <c r="J169" s="688"/>
      <c r="K169" s="688">
        <f t="shared" si="24"/>
        <v>2036</v>
      </c>
      <c r="L169" s="688"/>
    </row>
    <row r="170" spans="1:12" ht="15.75" thickBot="1" x14ac:dyDescent="0.3">
      <c r="B170" s="763">
        <v>49785</v>
      </c>
      <c r="C170" s="751">
        <f t="shared" si="20"/>
        <v>31</v>
      </c>
      <c r="D170" s="747">
        <f t="shared" si="16"/>
        <v>0</v>
      </c>
      <c r="E170" s="747">
        <f t="shared" si="18"/>
        <v>0</v>
      </c>
      <c r="F170" s="752">
        <f t="shared" si="23"/>
        <v>0</v>
      </c>
      <c r="G170" s="753">
        <f t="shared" si="19"/>
        <v>0</v>
      </c>
      <c r="H170" s="750">
        <f t="shared" si="14"/>
        <v>0</v>
      </c>
      <c r="I170" s="688"/>
      <c r="J170" s="688"/>
      <c r="K170" s="688">
        <f t="shared" si="24"/>
        <v>2036</v>
      </c>
      <c r="L170" s="688"/>
    </row>
    <row r="171" spans="1:12" x14ac:dyDescent="0.25">
      <c r="B171" s="764">
        <v>49815</v>
      </c>
      <c r="C171" s="751">
        <f t="shared" si="20"/>
        <v>30</v>
      </c>
      <c r="D171" s="747">
        <f t="shared" si="16"/>
        <v>0</v>
      </c>
      <c r="E171" s="747">
        <f t="shared" si="18"/>
        <v>0</v>
      </c>
      <c r="F171" s="752">
        <f t="shared" si="23"/>
        <v>0</v>
      </c>
      <c r="G171" s="753">
        <f t="shared" si="19"/>
        <v>0</v>
      </c>
      <c r="H171" s="750">
        <f t="shared" si="14"/>
        <v>0</v>
      </c>
      <c r="I171" s="688"/>
      <c r="J171" s="688"/>
      <c r="K171" s="688">
        <f t="shared" si="24"/>
        <v>2036</v>
      </c>
      <c r="L171" s="688"/>
    </row>
    <row r="172" spans="1:12" ht="15.75" thickBot="1" x14ac:dyDescent="0.3">
      <c r="B172" s="763">
        <v>49846</v>
      </c>
      <c r="C172" s="751">
        <f t="shared" si="20"/>
        <v>31</v>
      </c>
      <c r="D172" s="747">
        <f t="shared" si="16"/>
        <v>0</v>
      </c>
      <c r="E172" s="747">
        <f t="shared" si="18"/>
        <v>0</v>
      </c>
      <c r="F172" s="752">
        <f t="shared" si="23"/>
        <v>0</v>
      </c>
      <c r="G172" s="753">
        <f t="shared" si="19"/>
        <v>0</v>
      </c>
      <c r="H172" s="750">
        <f t="shared" ref="H172:H235" si="25">$H$43</f>
        <v>0</v>
      </c>
      <c r="I172" s="688"/>
      <c r="J172" s="688"/>
      <c r="K172" s="688">
        <f t="shared" si="24"/>
        <v>2036</v>
      </c>
      <c r="L172" s="688"/>
    </row>
    <row r="173" spans="1:12" x14ac:dyDescent="0.25">
      <c r="B173" s="764">
        <v>49876</v>
      </c>
      <c r="C173" s="751">
        <f t="shared" si="20"/>
        <v>30</v>
      </c>
      <c r="D173" s="747">
        <f t="shared" si="16"/>
        <v>0</v>
      </c>
      <c r="E173" s="747">
        <f t="shared" si="18"/>
        <v>0</v>
      </c>
      <c r="F173" s="752">
        <f t="shared" si="23"/>
        <v>0</v>
      </c>
      <c r="G173" s="753">
        <f t="shared" si="19"/>
        <v>0</v>
      </c>
      <c r="H173" s="750">
        <f t="shared" si="25"/>
        <v>0</v>
      </c>
      <c r="I173" s="688"/>
      <c r="J173" s="688"/>
      <c r="K173" s="688">
        <f t="shared" si="24"/>
        <v>2036</v>
      </c>
      <c r="L173" s="688"/>
    </row>
    <row r="174" spans="1:12" ht="15.75" thickBot="1" x14ac:dyDescent="0.3">
      <c r="B174" s="763">
        <v>49907</v>
      </c>
      <c r="C174" s="751">
        <f t="shared" si="20"/>
        <v>31</v>
      </c>
      <c r="D174" s="747">
        <f t="shared" si="16"/>
        <v>0</v>
      </c>
      <c r="E174" s="747">
        <f t="shared" si="18"/>
        <v>0</v>
      </c>
      <c r="F174" s="752">
        <f t="shared" si="23"/>
        <v>0</v>
      </c>
      <c r="G174" s="753">
        <f t="shared" si="19"/>
        <v>0</v>
      </c>
      <c r="H174" s="750">
        <f t="shared" si="25"/>
        <v>0</v>
      </c>
      <c r="I174" s="745"/>
      <c r="J174" s="745"/>
      <c r="K174" s="688">
        <f t="shared" si="24"/>
        <v>2036</v>
      </c>
      <c r="L174" s="688">
        <f>L162+1</f>
        <v>2036</v>
      </c>
    </row>
    <row r="175" spans="1:12" x14ac:dyDescent="0.25">
      <c r="B175" s="764">
        <v>49938</v>
      </c>
      <c r="C175" s="751">
        <f t="shared" si="20"/>
        <v>31</v>
      </c>
      <c r="D175" s="747">
        <f t="shared" si="16"/>
        <v>0</v>
      </c>
      <c r="E175" s="747">
        <f t="shared" si="18"/>
        <v>0</v>
      </c>
      <c r="F175" s="752">
        <f t="shared" si="23"/>
        <v>0</v>
      </c>
      <c r="G175" s="753">
        <f t="shared" si="19"/>
        <v>0</v>
      </c>
      <c r="H175" s="750">
        <f t="shared" si="25"/>
        <v>0</v>
      </c>
      <c r="I175" s="745"/>
      <c r="J175" s="745"/>
      <c r="K175" s="688">
        <f t="shared" si="24"/>
        <v>2036</v>
      </c>
      <c r="L175" s="688"/>
    </row>
    <row r="176" spans="1:12" ht="15.75" thickBot="1" x14ac:dyDescent="0.3">
      <c r="B176" s="763">
        <v>49968</v>
      </c>
      <c r="C176" s="751">
        <f t="shared" si="20"/>
        <v>30</v>
      </c>
      <c r="D176" s="747">
        <f t="shared" si="16"/>
        <v>0</v>
      </c>
      <c r="E176" s="747">
        <f t="shared" si="18"/>
        <v>0</v>
      </c>
      <c r="F176" s="752">
        <f t="shared" si="23"/>
        <v>0</v>
      </c>
      <c r="G176" s="753">
        <f t="shared" si="19"/>
        <v>0</v>
      </c>
      <c r="H176" s="750">
        <f t="shared" si="25"/>
        <v>0</v>
      </c>
      <c r="I176" s="745"/>
      <c r="J176" s="745"/>
      <c r="K176" s="688">
        <f t="shared" si="24"/>
        <v>2036</v>
      </c>
      <c r="L176" s="688"/>
    </row>
    <row r="177" spans="2:12" x14ac:dyDescent="0.25">
      <c r="B177" s="764">
        <v>49999</v>
      </c>
      <c r="C177" s="751">
        <f t="shared" si="20"/>
        <v>31</v>
      </c>
      <c r="D177" s="747">
        <f t="shared" ref="D177:D240" si="26">IF(F176&lt;=0.1,0,$F$42/$G$39)</f>
        <v>0</v>
      </c>
      <c r="E177" s="747">
        <f t="shared" si="18"/>
        <v>0</v>
      </c>
      <c r="F177" s="752">
        <f t="shared" si="23"/>
        <v>0</v>
      </c>
      <c r="G177" s="753">
        <f t="shared" si="19"/>
        <v>0</v>
      </c>
      <c r="H177" s="750">
        <f t="shared" si="25"/>
        <v>0</v>
      </c>
      <c r="I177" s="688"/>
      <c r="J177" s="688"/>
      <c r="K177" s="688">
        <f t="shared" si="24"/>
        <v>2036</v>
      </c>
      <c r="L177" s="688"/>
    </row>
    <row r="178" spans="2:12" ht="15.75" thickBot="1" x14ac:dyDescent="0.3">
      <c r="B178" s="763">
        <v>50029</v>
      </c>
      <c r="C178" s="751">
        <f t="shared" si="20"/>
        <v>30</v>
      </c>
      <c r="D178" s="747">
        <f t="shared" si="26"/>
        <v>0</v>
      </c>
      <c r="E178" s="747">
        <f t="shared" si="18"/>
        <v>0</v>
      </c>
      <c r="F178" s="752">
        <f t="shared" si="23"/>
        <v>0</v>
      </c>
      <c r="G178" s="753">
        <f t="shared" si="19"/>
        <v>0</v>
      </c>
      <c r="H178" s="750">
        <f t="shared" si="25"/>
        <v>0</v>
      </c>
      <c r="I178" s="688"/>
      <c r="J178" s="688"/>
      <c r="K178" s="688">
        <f t="shared" si="24"/>
        <v>2036</v>
      </c>
      <c r="L178" s="688"/>
    </row>
    <row r="179" spans="2:12" x14ac:dyDescent="0.25">
      <c r="B179" s="764">
        <v>50060</v>
      </c>
      <c r="C179" s="751">
        <f t="shared" si="20"/>
        <v>31</v>
      </c>
      <c r="D179" s="747">
        <f t="shared" si="26"/>
        <v>0</v>
      </c>
      <c r="E179" s="747">
        <f t="shared" si="18"/>
        <v>0</v>
      </c>
      <c r="F179" s="752">
        <f t="shared" si="23"/>
        <v>0</v>
      </c>
      <c r="G179" s="753">
        <f t="shared" si="19"/>
        <v>0</v>
      </c>
      <c r="H179" s="750">
        <f t="shared" si="25"/>
        <v>0</v>
      </c>
      <c r="I179" s="688"/>
      <c r="J179" s="688"/>
      <c r="K179" s="688">
        <f t="shared" si="24"/>
        <v>2037</v>
      </c>
      <c r="L179" s="688"/>
    </row>
    <row r="180" spans="2:12" ht="15.75" thickBot="1" x14ac:dyDescent="0.3">
      <c r="B180" s="763">
        <v>50091</v>
      </c>
      <c r="C180" s="751">
        <f t="shared" si="20"/>
        <v>31</v>
      </c>
      <c r="D180" s="747">
        <f t="shared" si="26"/>
        <v>0</v>
      </c>
      <c r="E180" s="747">
        <f t="shared" si="18"/>
        <v>0</v>
      </c>
      <c r="F180" s="752">
        <f t="shared" si="23"/>
        <v>0</v>
      </c>
      <c r="G180" s="753">
        <f t="shared" si="19"/>
        <v>0</v>
      </c>
      <c r="H180" s="750">
        <f t="shared" si="25"/>
        <v>0</v>
      </c>
      <c r="I180" s="688"/>
      <c r="J180" s="688"/>
      <c r="K180" s="688">
        <f t="shared" si="24"/>
        <v>2037</v>
      </c>
      <c r="L180" s="688"/>
    </row>
    <row r="181" spans="2:12" x14ac:dyDescent="0.25">
      <c r="B181" s="764">
        <v>50119</v>
      </c>
      <c r="C181" s="751">
        <f t="shared" si="20"/>
        <v>28</v>
      </c>
      <c r="D181" s="747">
        <f t="shared" si="26"/>
        <v>0</v>
      </c>
      <c r="E181" s="747">
        <f t="shared" si="18"/>
        <v>0</v>
      </c>
      <c r="F181" s="752">
        <f t="shared" si="23"/>
        <v>0</v>
      </c>
      <c r="G181" s="753">
        <f t="shared" si="19"/>
        <v>0</v>
      </c>
      <c r="H181" s="750">
        <f t="shared" si="25"/>
        <v>0</v>
      </c>
      <c r="I181" s="688"/>
      <c r="J181" s="688"/>
      <c r="K181" s="688">
        <f t="shared" si="24"/>
        <v>2037</v>
      </c>
      <c r="L181" s="688"/>
    </row>
    <row r="182" spans="2:12" ht="15.75" thickBot="1" x14ac:dyDescent="0.3">
      <c r="B182" s="763">
        <v>50150</v>
      </c>
      <c r="C182" s="751">
        <f t="shared" si="20"/>
        <v>31</v>
      </c>
      <c r="D182" s="747">
        <f t="shared" si="26"/>
        <v>0</v>
      </c>
      <c r="E182" s="747">
        <f t="shared" si="18"/>
        <v>0</v>
      </c>
      <c r="F182" s="752">
        <f t="shared" si="23"/>
        <v>0</v>
      </c>
      <c r="G182" s="753">
        <f t="shared" si="19"/>
        <v>0</v>
      </c>
      <c r="H182" s="750">
        <f t="shared" si="25"/>
        <v>0</v>
      </c>
      <c r="I182" s="688"/>
      <c r="J182" s="688"/>
      <c r="K182" s="688">
        <f t="shared" si="24"/>
        <v>2037</v>
      </c>
      <c r="L182" s="688"/>
    </row>
    <row r="183" spans="2:12" x14ac:dyDescent="0.25">
      <c r="B183" s="764">
        <v>50180</v>
      </c>
      <c r="C183" s="751">
        <f t="shared" si="20"/>
        <v>30</v>
      </c>
      <c r="D183" s="747">
        <f t="shared" si="26"/>
        <v>0</v>
      </c>
      <c r="E183" s="747">
        <f t="shared" ref="E183:E246" si="27">IF(D183&lt;0.1,0,(F182*C183*H183/36500))</f>
        <v>0</v>
      </c>
      <c r="F183" s="752">
        <f t="shared" si="23"/>
        <v>0</v>
      </c>
      <c r="G183" s="753">
        <f t="shared" si="19"/>
        <v>0</v>
      </c>
      <c r="H183" s="750">
        <f t="shared" si="25"/>
        <v>0</v>
      </c>
      <c r="I183" s="688"/>
      <c r="J183" s="688"/>
      <c r="K183" s="688">
        <f t="shared" si="24"/>
        <v>2037</v>
      </c>
      <c r="L183" s="688"/>
    </row>
    <row r="184" spans="2:12" ht="15.75" thickBot="1" x14ac:dyDescent="0.3">
      <c r="B184" s="763">
        <v>50211</v>
      </c>
      <c r="C184" s="751">
        <f t="shared" si="20"/>
        <v>31</v>
      </c>
      <c r="D184" s="747">
        <f t="shared" si="26"/>
        <v>0</v>
      </c>
      <c r="E184" s="747">
        <f t="shared" si="27"/>
        <v>0</v>
      </c>
      <c r="F184" s="752">
        <f t="shared" si="23"/>
        <v>0</v>
      </c>
      <c r="G184" s="753">
        <f t="shared" si="19"/>
        <v>0</v>
      </c>
      <c r="H184" s="750">
        <f t="shared" si="25"/>
        <v>0</v>
      </c>
      <c r="I184" s="688"/>
      <c r="J184" s="688"/>
      <c r="K184" s="688">
        <f t="shared" si="24"/>
        <v>2037</v>
      </c>
      <c r="L184" s="688"/>
    </row>
    <row r="185" spans="2:12" x14ac:dyDescent="0.25">
      <c r="B185" s="764">
        <v>50241</v>
      </c>
      <c r="C185" s="751">
        <f t="shared" si="20"/>
        <v>30</v>
      </c>
      <c r="D185" s="747">
        <f t="shared" si="26"/>
        <v>0</v>
      </c>
      <c r="E185" s="747">
        <f t="shared" si="27"/>
        <v>0</v>
      </c>
      <c r="F185" s="752">
        <f t="shared" si="23"/>
        <v>0</v>
      </c>
      <c r="G185" s="753">
        <f t="shared" ref="G185:G248" si="28">D185+E185</f>
        <v>0</v>
      </c>
      <c r="H185" s="750">
        <f t="shared" si="25"/>
        <v>0</v>
      </c>
      <c r="I185" s="688"/>
      <c r="J185" s="688"/>
      <c r="K185" s="688">
        <f t="shared" si="24"/>
        <v>2037</v>
      </c>
      <c r="L185" s="688"/>
    </row>
    <row r="186" spans="2:12" ht="15.75" thickBot="1" x14ac:dyDescent="0.3">
      <c r="B186" s="763">
        <v>50272</v>
      </c>
      <c r="C186" s="751">
        <f t="shared" ref="C186:C249" si="29">B186-B185</f>
        <v>31</v>
      </c>
      <c r="D186" s="747">
        <f t="shared" si="26"/>
        <v>0</v>
      </c>
      <c r="E186" s="747">
        <f t="shared" si="27"/>
        <v>0</v>
      </c>
      <c r="F186" s="752">
        <f t="shared" si="23"/>
        <v>0</v>
      </c>
      <c r="G186" s="753">
        <f t="shared" si="28"/>
        <v>0</v>
      </c>
      <c r="H186" s="750">
        <f t="shared" si="25"/>
        <v>0</v>
      </c>
      <c r="I186" s="688"/>
      <c r="J186" s="688"/>
      <c r="K186" s="688">
        <f t="shared" si="24"/>
        <v>2037</v>
      </c>
      <c r="L186" s="688">
        <f>L174+1</f>
        <v>2037</v>
      </c>
    </row>
    <row r="187" spans="2:12" x14ac:dyDescent="0.25">
      <c r="B187" s="764">
        <v>50303</v>
      </c>
      <c r="C187" s="751">
        <f t="shared" si="29"/>
        <v>31</v>
      </c>
      <c r="D187" s="747">
        <f t="shared" si="26"/>
        <v>0</v>
      </c>
      <c r="E187" s="747">
        <f t="shared" si="27"/>
        <v>0</v>
      </c>
      <c r="F187" s="752">
        <f t="shared" si="23"/>
        <v>0</v>
      </c>
      <c r="G187" s="753">
        <f t="shared" si="28"/>
        <v>0</v>
      </c>
      <c r="H187" s="750">
        <f t="shared" si="25"/>
        <v>0</v>
      </c>
      <c r="I187" s="688"/>
      <c r="J187" s="688"/>
      <c r="K187" s="688">
        <f t="shared" si="24"/>
        <v>2037</v>
      </c>
      <c r="L187" s="688"/>
    </row>
    <row r="188" spans="2:12" ht="15.75" thickBot="1" x14ac:dyDescent="0.3">
      <c r="B188" s="763">
        <v>50333</v>
      </c>
      <c r="C188" s="751">
        <f t="shared" si="29"/>
        <v>30</v>
      </c>
      <c r="D188" s="747">
        <f t="shared" si="26"/>
        <v>0</v>
      </c>
      <c r="E188" s="747">
        <f t="shared" si="27"/>
        <v>0</v>
      </c>
      <c r="F188" s="752">
        <f t="shared" si="23"/>
        <v>0</v>
      </c>
      <c r="G188" s="753">
        <f t="shared" si="28"/>
        <v>0</v>
      </c>
      <c r="H188" s="750">
        <f t="shared" si="25"/>
        <v>0</v>
      </c>
      <c r="I188" s="688"/>
      <c r="J188" s="688"/>
      <c r="K188" s="688">
        <f t="shared" si="24"/>
        <v>2037</v>
      </c>
      <c r="L188" s="688"/>
    </row>
    <row r="189" spans="2:12" x14ac:dyDescent="0.25">
      <c r="B189" s="764">
        <v>50364</v>
      </c>
      <c r="C189" s="751">
        <f t="shared" si="29"/>
        <v>31</v>
      </c>
      <c r="D189" s="747">
        <f t="shared" si="26"/>
        <v>0</v>
      </c>
      <c r="E189" s="747">
        <f t="shared" si="27"/>
        <v>0</v>
      </c>
      <c r="F189" s="752">
        <f t="shared" si="23"/>
        <v>0</v>
      </c>
      <c r="G189" s="753">
        <f t="shared" si="28"/>
        <v>0</v>
      </c>
      <c r="H189" s="750">
        <f t="shared" si="25"/>
        <v>0</v>
      </c>
      <c r="I189" s="688"/>
      <c r="J189" s="688"/>
      <c r="K189" s="688">
        <f t="shared" si="24"/>
        <v>2037</v>
      </c>
      <c r="L189" s="688"/>
    </row>
    <row r="190" spans="2:12" ht="15.75" thickBot="1" x14ac:dyDescent="0.3">
      <c r="B190" s="763">
        <v>50394</v>
      </c>
      <c r="C190" s="751">
        <f t="shared" si="29"/>
        <v>30</v>
      </c>
      <c r="D190" s="747">
        <f t="shared" si="26"/>
        <v>0</v>
      </c>
      <c r="E190" s="747">
        <f t="shared" si="27"/>
        <v>0</v>
      </c>
      <c r="F190" s="752">
        <f t="shared" si="23"/>
        <v>0</v>
      </c>
      <c r="G190" s="753">
        <f t="shared" si="28"/>
        <v>0</v>
      </c>
      <c r="H190" s="750">
        <f t="shared" si="25"/>
        <v>0</v>
      </c>
      <c r="I190" s="688"/>
      <c r="J190" s="688"/>
      <c r="K190" s="688">
        <f t="shared" si="24"/>
        <v>2037</v>
      </c>
      <c r="L190" s="688"/>
    </row>
    <row r="191" spans="2:12" x14ac:dyDescent="0.25">
      <c r="B191" s="764">
        <v>50425</v>
      </c>
      <c r="C191" s="751">
        <f t="shared" si="29"/>
        <v>31</v>
      </c>
      <c r="D191" s="747">
        <f t="shared" si="26"/>
        <v>0</v>
      </c>
      <c r="E191" s="747">
        <f t="shared" si="27"/>
        <v>0</v>
      </c>
      <c r="F191" s="752">
        <f t="shared" si="23"/>
        <v>0</v>
      </c>
      <c r="G191" s="753">
        <f t="shared" si="28"/>
        <v>0</v>
      </c>
      <c r="H191" s="750">
        <f t="shared" si="25"/>
        <v>0</v>
      </c>
      <c r="I191" s="688"/>
      <c r="J191" s="688"/>
      <c r="K191" s="688">
        <f t="shared" si="24"/>
        <v>2038</v>
      </c>
      <c r="L191" s="688"/>
    </row>
    <row r="192" spans="2:12" ht="15.75" thickBot="1" x14ac:dyDescent="0.3">
      <c r="B192" s="763">
        <v>50456</v>
      </c>
      <c r="C192" s="751">
        <f t="shared" si="29"/>
        <v>31</v>
      </c>
      <c r="D192" s="747">
        <f t="shared" si="26"/>
        <v>0</v>
      </c>
      <c r="E192" s="747">
        <f t="shared" si="27"/>
        <v>0</v>
      </c>
      <c r="F192" s="752">
        <f t="shared" si="23"/>
        <v>0</v>
      </c>
      <c r="G192" s="753">
        <f t="shared" si="28"/>
        <v>0</v>
      </c>
      <c r="H192" s="750">
        <f t="shared" si="25"/>
        <v>0</v>
      </c>
      <c r="I192" s="688"/>
      <c r="J192" s="688"/>
      <c r="K192" s="688">
        <f t="shared" si="24"/>
        <v>2038</v>
      </c>
      <c r="L192" s="688"/>
    </row>
    <row r="193" spans="2:12" x14ac:dyDescent="0.25">
      <c r="B193" s="764">
        <v>50484</v>
      </c>
      <c r="C193" s="751">
        <f t="shared" si="29"/>
        <v>28</v>
      </c>
      <c r="D193" s="747">
        <f t="shared" si="26"/>
        <v>0</v>
      </c>
      <c r="E193" s="747">
        <f t="shared" si="27"/>
        <v>0</v>
      </c>
      <c r="F193" s="752">
        <f t="shared" si="23"/>
        <v>0</v>
      </c>
      <c r="G193" s="753">
        <f t="shared" si="28"/>
        <v>0</v>
      </c>
      <c r="H193" s="750">
        <f t="shared" si="25"/>
        <v>0</v>
      </c>
      <c r="I193" s="688"/>
      <c r="J193" s="688"/>
      <c r="K193" s="688">
        <f t="shared" si="24"/>
        <v>2038</v>
      </c>
      <c r="L193" s="688"/>
    </row>
    <row r="194" spans="2:12" ht="15.75" thickBot="1" x14ac:dyDescent="0.3">
      <c r="B194" s="763">
        <v>50515</v>
      </c>
      <c r="C194" s="751">
        <f t="shared" si="29"/>
        <v>31</v>
      </c>
      <c r="D194" s="747">
        <f t="shared" si="26"/>
        <v>0</v>
      </c>
      <c r="E194" s="747">
        <f t="shared" si="27"/>
        <v>0</v>
      </c>
      <c r="F194" s="752">
        <f t="shared" si="23"/>
        <v>0</v>
      </c>
      <c r="G194" s="753">
        <f t="shared" si="28"/>
        <v>0</v>
      </c>
      <c r="H194" s="750">
        <f t="shared" si="25"/>
        <v>0</v>
      </c>
      <c r="I194" s="688"/>
      <c r="J194" s="688"/>
      <c r="K194" s="688">
        <f t="shared" si="24"/>
        <v>2038</v>
      </c>
      <c r="L194" s="688"/>
    </row>
    <row r="195" spans="2:12" x14ac:dyDescent="0.25">
      <c r="B195" s="764">
        <v>50545</v>
      </c>
      <c r="C195" s="751">
        <f t="shared" si="29"/>
        <v>30</v>
      </c>
      <c r="D195" s="747">
        <f t="shared" si="26"/>
        <v>0</v>
      </c>
      <c r="E195" s="747">
        <f t="shared" si="27"/>
        <v>0</v>
      </c>
      <c r="F195" s="752">
        <f t="shared" si="23"/>
        <v>0</v>
      </c>
      <c r="G195" s="753">
        <f t="shared" si="28"/>
        <v>0</v>
      </c>
      <c r="H195" s="750">
        <f t="shared" si="25"/>
        <v>0</v>
      </c>
      <c r="I195" s="688"/>
      <c r="J195" s="688"/>
      <c r="K195" s="688">
        <f t="shared" si="24"/>
        <v>2038</v>
      </c>
      <c r="L195" s="688"/>
    </row>
    <row r="196" spans="2:12" ht="15.75" thickBot="1" x14ac:dyDescent="0.3">
      <c r="B196" s="763">
        <v>50576</v>
      </c>
      <c r="C196" s="751">
        <f t="shared" si="29"/>
        <v>31</v>
      </c>
      <c r="D196" s="747">
        <f t="shared" si="26"/>
        <v>0</v>
      </c>
      <c r="E196" s="747">
        <f t="shared" si="27"/>
        <v>0</v>
      </c>
      <c r="F196" s="752">
        <f t="shared" si="23"/>
        <v>0</v>
      </c>
      <c r="G196" s="753">
        <f t="shared" si="28"/>
        <v>0</v>
      </c>
      <c r="H196" s="750">
        <f t="shared" si="25"/>
        <v>0</v>
      </c>
      <c r="I196" s="688"/>
      <c r="J196" s="688"/>
      <c r="K196" s="688">
        <f t="shared" si="24"/>
        <v>2038</v>
      </c>
      <c r="L196" s="688"/>
    </row>
    <row r="197" spans="2:12" x14ac:dyDescent="0.25">
      <c r="B197" s="764">
        <v>50606</v>
      </c>
      <c r="C197" s="751">
        <f t="shared" si="29"/>
        <v>30</v>
      </c>
      <c r="D197" s="747">
        <f t="shared" si="26"/>
        <v>0</v>
      </c>
      <c r="E197" s="747">
        <f t="shared" si="27"/>
        <v>0</v>
      </c>
      <c r="F197" s="752">
        <f t="shared" si="23"/>
        <v>0</v>
      </c>
      <c r="G197" s="753">
        <f t="shared" si="28"/>
        <v>0</v>
      </c>
      <c r="H197" s="750">
        <f t="shared" si="25"/>
        <v>0</v>
      </c>
      <c r="I197" s="688"/>
      <c r="J197" s="688"/>
      <c r="K197" s="688">
        <f t="shared" si="24"/>
        <v>2038</v>
      </c>
      <c r="L197" s="688"/>
    </row>
    <row r="198" spans="2:12" ht="15.75" thickBot="1" x14ac:dyDescent="0.3">
      <c r="B198" s="763">
        <v>50637</v>
      </c>
      <c r="C198" s="751">
        <f t="shared" si="29"/>
        <v>31</v>
      </c>
      <c r="D198" s="747">
        <f t="shared" si="26"/>
        <v>0</v>
      </c>
      <c r="E198" s="747">
        <f t="shared" si="27"/>
        <v>0</v>
      </c>
      <c r="F198" s="752">
        <f t="shared" si="23"/>
        <v>0</v>
      </c>
      <c r="G198" s="753">
        <f t="shared" si="28"/>
        <v>0</v>
      </c>
      <c r="H198" s="750">
        <f t="shared" si="25"/>
        <v>0</v>
      </c>
      <c r="I198" s="688"/>
      <c r="J198" s="688"/>
      <c r="K198" s="688">
        <f t="shared" si="24"/>
        <v>2038</v>
      </c>
      <c r="L198" s="688">
        <f>L186+1</f>
        <v>2038</v>
      </c>
    </row>
    <row r="199" spans="2:12" x14ac:dyDescent="0.25">
      <c r="B199" s="764">
        <v>50668</v>
      </c>
      <c r="C199" s="751">
        <f t="shared" si="29"/>
        <v>31</v>
      </c>
      <c r="D199" s="747">
        <f t="shared" si="26"/>
        <v>0</v>
      </c>
      <c r="E199" s="747">
        <f t="shared" si="27"/>
        <v>0</v>
      </c>
      <c r="F199" s="752">
        <f t="shared" si="23"/>
        <v>0</v>
      </c>
      <c r="G199" s="753">
        <f t="shared" si="28"/>
        <v>0</v>
      </c>
      <c r="H199" s="750">
        <f t="shared" si="25"/>
        <v>0</v>
      </c>
      <c r="I199" s="688"/>
      <c r="J199" s="688"/>
      <c r="K199" s="688">
        <f t="shared" si="24"/>
        <v>2038</v>
      </c>
      <c r="L199" s="688"/>
    </row>
    <row r="200" spans="2:12" ht="15.75" thickBot="1" x14ac:dyDescent="0.3">
      <c r="B200" s="763">
        <v>50698</v>
      </c>
      <c r="C200" s="751">
        <f t="shared" si="29"/>
        <v>30</v>
      </c>
      <c r="D200" s="747">
        <f t="shared" si="26"/>
        <v>0</v>
      </c>
      <c r="E200" s="747">
        <f t="shared" si="27"/>
        <v>0</v>
      </c>
      <c r="F200" s="752">
        <f t="shared" si="23"/>
        <v>0</v>
      </c>
      <c r="G200" s="753">
        <f t="shared" si="28"/>
        <v>0</v>
      </c>
      <c r="H200" s="750">
        <f t="shared" si="25"/>
        <v>0</v>
      </c>
      <c r="I200" s="688"/>
      <c r="J200" s="688"/>
      <c r="K200" s="688">
        <f t="shared" si="24"/>
        <v>2038</v>
      </c>
      <c r="L200" s="688"/>
    </row>
    <row r="201" spans="2:12" x14ac:dyDescent="0.25">
      <c r="B201" s="764">
        <v>50729</v>
      </c>
      <c r="C201" s="751">
        <f t="shared" si="29"/>
        <v>31</v>
      </c>
      <c r="D201" s="747">
        <f t="shared" si="26"/>
        <v>0</v>
      </c>
      <c r="E201" s="747">
        <f t="shared" si="27"/>
        <v>0</v>
      </c>
      <c r="F201" s="752">
        <f t="shared" si="23"/>
        <v>0</v>
      </c>
      <c r="G201" s="753">
        <f t="shared" si="28"/>
        <v>0</v>
      </c>
      <c r="H201" s="750">
        <f t="shared" si="25"/>
        <v>0</v>
      </c>
      <c r="I201" s="688"/>
      <c r="J201" s="688"/>
      <c r="K201" s="688">
        <f t="shared" si="24"/>
        <v>2038</v>
      </c>
      <c r="L201" s="688"/>
    </row>
    <row r="202" spans="2:12" ht="15.75" thickBot="1" x14ac:dyDescent="0.3">
      <c r="B202" s="763">
        <v>50759</v>
      </c>
      <c r="C202" s="751">
        <f t="shared" si="29"/>
        <v>30</v>
      </c>
      <c r="D202" s="747">
        <f t="shared" si="26"/>
        <v>0</v>
      </c>
      <c r="E202" s="747">
        <f t="shared" si="27"/>
        <v>0</v>
      </c>
      <c r="F202" s="752">
        <f t="shared" si="23"/>
        <v>0</v>
      </c>
      <c r="G202" s="753">
        <f t="shared" si="28"/>
        <v>0</v>
      </c>
      <c r="H202" s="750">
        <f t="shared" si="25"/>
        <v>0</v>
      </c>
      <c r="I202" s="688"/>
      <c r="J202" s="688"/>
      <c r="K202" s="688">
        <f t="shared" si="24"/>
        <v>2038</v>
      </c>
      <c r="L202" s="688"/>
    </row>
    <row r="203" spans="2:12" x14ac:dyDescent="0.25">
      <c r="B203" s="764">
        <v>50790</v>
      </c>
      <c r="C203" s="751">
        <f t="shared" si="29"/>
        <v>31</v>
      </c>
      <c r="D203" s="747">
        <f t="shared" si="26"/>
        <v>0</v>
      </c>
      <c r="E203" s="747">
        <f t="shared" si="27"/>
        <v>0</v>
      </c>
      <c r="F203" s="752">
        <f t="shared" ref="F203:F266" si="30">F202-D203</f>
        <v>0</v>
      </c>
      <c r="G203" s="753">
        <f t="shared" si="28"/>
        <v>0</v>
      </c>
      <c r="H203" s="750">
        <f t="shared" si="25"/>
        <v>0</v>
      </c>
      <c r="I203" s="688"/>
      <c r="J203" s="688"/>
      <c r="K203" s="688">
        <f t="shared" si="24"/>
        <v>2039</v>
      </c>
      <c r="L203" s="688"/>
    </row>
    <row r="204" spans="2:12" ht="15.75" thickBot="1" x14ac:dyDescent="0.3">
      <c r="B204" s="763">
        <v>50821</v>
      </c>
      <c r="C204" s="751">
        <f t="shared" si="29"/>
        <v>31</v>
      </c>
      <c r="D204" s="747">
        <f t="shared" si="26"/>
        <v>0</v>
      </c>
      <c r="E204" s="747">
        <f t="shared" si="27"/>
        <v>0</v>
      </c>
      <c r="F204" s="752">
        <f t="shared" si="30"/>
        <v>0</v>
      </c>
      <c r="G204" s="753">
        <f t="shared" si="28"/>
        <v>0</v>
      </c>
      <c r="H204" s="750">
        <f t="shared" si="25"/>
        <v>0</v>
      </c>
      <c r="I204" s="688"/>
      <c r="J204" s="688"/>
      <c r="K204" s="688">
        <f t="shared" si="24"/>
        <v>2039</v>
      </c>
      <c r="L204" s="688"/>
    </row>
    <row r="205" spans="2:12" x14ac:dyDescent="0.25">
      <c r="B205" s="764">
        <v>50849</v>
      </c>
      <c r="C205" s="751">
        <f t="shared" si="29"/>
        <v>28</v>
      </c>
      <c r="D205" s="747">
        <f t="shared" si="26"/>
        <v>0</v>
      </c>
      <c r="E205" s="747">
        <f t="shared" si="27"/>
        <v>0</v>
      </c>
      <c r="F205" s="752">
        <f t="shared" si="30"/>
        <v>0</v>
      </c>
      <c r="G205" s="753">
        <f t="shared" si="28"/>
        <v>0</v>
      </c>
      <c r="H205" s="750">
        <f t="shared" si="25"/>
        <v>0</v>
      </c>
      <c r="I205" s="688"/>
      <c r="J205" s="688"/>
      <c r="K205" s="688">
        <f t="shared" si="24"/>
        <v>2039</v>
      </c>
      <c r="L205" s="688"/>
    </row>
    <row r="206" spans="2:12" ht="15.75" thickBot="1" x14ac:dyDescent="0.3">
      <c r="B206" s="763">
        <v>50880</v>
      </c>
      <c r="C206" s="751">
        <f t="shared" si="29"/>
        <v>31</v>
      </c>
      <c r="D206" s="747">
        <f t="shared" si="26"/>
        <v>0</v>
      </c>
      <c r="E206" s="747">
        <f t="shared" si="27"/>
        <v>0</v>
      </c>
      <c r="F206" s="752">
        <f t="shared" si="30"/>
        <v>0</v>
      </c>
      <c r="G206" s="753">
        <f t="shared" si="28"/>
        <v>0</v>
      </c>
      <c r="H206" s="750">
        <f t="shared" si="25"/>
        <v>0</v>
      </c>
      <c r="I206" s="688"/>
      <c r="J206" s="688"/>
      <c r="K206" s="688">
        <f t="shared" si="24"/>
        <v>2039</v>
      </c>
      <c r="L206" s="688"/>
    </row>
    <row r="207" spans="2:12" x14ac:dyDescent="0.25">
      <c r="B207" s="764">
        <v>50910</v>
      </c>
      <c r="C207" s="751">
        <f t="shared" si="29"/>
        <v>30</v>
      </c>
      <c r="D207" s="747">
        <f t="shared" si="26"/>
        <v>0</v>
      </c>
      <c r="E207" s="747">
        <f t="shared" si="27"/>
        <v>0</v>
      </c>
      <c r="F207" s="752">
        <f t="shared" si="30"/>
        <v>0</v>
      </c>
      <c r="G207" s="753">
        <f t="shared" si="28"/>
        <v>0</v>
      </c>
      <c r="H207" s="750">
        <f t="shared" si="25"/>
        <v>0</v>
      </c>
      <c r="I207" s="688"/>
      <c r="J207" s="688"/>
      <c r="K207" s="688">
        <f t="shared" si="24"/>
        <v>2039</v>
      </c>
      <c r="L207" s="688"/>
    </row>
    <row r="208" spans="2:12" ht="15.75" thickBot="1" x14ac:dyDescent="0.3">
      <c r="B208" s="763">
        <v>50941</v>
      </c>
      <c r="C208" s="751">
        <f t="shared" si="29"/>
        <v>31</v>
      </c>
      <c r="D208" s="747">
        <f t="shared" si="26"/>
        <v>0</v>
      </c>
      <c r="E208" s="747">
        <f t="shared" si="27"/>
        <v>0</v>
      </c>
      <c r="F208" s="752">
        <f t="shared" si="30"/>
        <v>0</v>
      </c>
      <c r="G208" s="753">
        <f t="shared" si="28"/>
        <v>0</v>
      </c>
      <c r="H208" s="750">
        <f t="shared" si="25"/>
        <v>0</v>
      </c>
      <c r="I208" s="688"/>
      <c r="J208" s="688"/>
      <c r="K208" s="688">
        <f t="shared" si="24"/>
        <v>2039</v>
      </c>
      <c r="L208" s="688"/>
    </row>
    <row r="209" spans="2:12" x14ac:dyDescent="0.25">
      <c r="B209" s="764">
        <v>50971</v>
      </c>
      <c r="C209" s="751">
        <f t="shared" si="29"/>
        <v>30</v>
      </c>
      <c r="D209" s="747">
        <f t="shared" si="26"/>
        <v>0</v>
      </c>
      <c r="E209" s="747">
        <f t="shared" si="27"/>
        <v>0</v>
      </c>
      <c r="F209" s="752">
        <f t="shared" si="30"/>
        <v>0</v>
      </c>
      <c r="G209" s="753">
        <f t="shared" si="28"/>
        <v>0</v>
      </c>
      <c r="H209" s="750">
        <f t="shared" si="25"/>
        <v>0</v>
      </c>
      <c r="I209" s="688"/>
      <c r="J209" s="688"/>
      <c r="K209" s="688">
        <f t="shared" si="24"/>
        <v>2039</v>
      </c>
      <c r="L209" s="688"/>
    </row>
    <row r="210" spans="2:12" ht="15.75" thickBot="1" x14ac:dyDescent="0.3">
      <c r="B210" s="763">
        <v>51002</v>
      </c>
      <c r="C210" s="751">
        <f t="shared" si="29"/>
        <v>31</v>
      </c>
      <c r="D210" s="747">
        <f t="shared" si="26"/>
        <v>0</v>
      </c>
      <c r="E210" s="747">
        <f t="shared" si="27"/>
        <v>0</v>
      </c>
      <c r="F210" s="752">
        <f t="shared" si="30"/>
        <v>0</v>
      </c>
      <c r="G210" s="753">
        <f t="shared" si="28"/>
        <v>0</v>
      </c>
      <c r="H210" s="750">
        <f t="shared" si="25"/>
        <v>0</v>
      </c>
      <c r="I210" s="688"/>
      <c r="J210" s="688"/>
      <c r="K210" s="688">
        <f t="shared" si="24"/>
        <v>2039</v>
      </c>
      <c r="L210" s="688">
        <f>L198+1</f>
        <v>2039</v>
      </c>
    </row>
    <row r="211" spans="2:12" x14ac:dyDescent="0.25">
      <c r="B211" s="764">
        <v>51033</v>
      </c>
      <c r="C211" s="751">
        <f t="shared" si="29"/>
        <v>31</v>
      </c>
      <c r="D211" s="747">
        <f t="shared" si="26"/>
        <v>0</v>
      </c>
      <c r="E211" s="747">
        <f t="shared" si="27"/>
        <v>0</v>
      </c>
      <c r="F211" s="752">
        <f t="shared" si="30"/>
        <v>0</v>
      </c>
      <c r="G211" s="753">
        <f t="shared" si="28"/>
        <v>0</v>
      </c>
      <c r="H211" s="750">
        <f t="shared" si="25"/>
        <v>0</v>
      </c>
      <c r="I211" s="688"/>
      <c r="J211" s="688"/>
      <c r="K211" s="688">
        <f t="shared" si="24"/>
        <v>2039</v>
      </c>
      <c r="L211" s="688"/>
    </row>
    <row r="212" spans="2:12" ht="15.75" thickBot="1" x14ac:dyDescent="0.3">
      <c r="B212" s="763">
        <v>51063</v>
      </c>
      <c r="C212" s="751">
        <f t="shared" si="29"/>
        <v>30</v>
      </c>
      <c r="D212" s="747">
        <f t="shared" si="26"/>
        <v>0</v>
      </c>
      <c r="E212" s="747">
        <f t="shared" si="27"/>
        <v>0</v>
      </c>
      <c r="F212" s="752">
        <f t="shared" si="30"/>
        <v>0</v>
      </c>
      <c r="G212" s="753">
        <f t="shared" si="28"/>
        <v>0</v>
      </c>
      <c r="H212" s="750">
        <f t="shared" si="25"/>
        <v>0</v>
      </c>
      <c r="I212" s="688"/>
      <c r="J212" s="688"/>
      <c r="K212" s="688">
        <f t="shared" si="24"/>
        <v>2039</v>
      </c>
      <c r="L212" s="688"/>
    </row>
    <row r="213" spans="2:12" x14ac:dyDescent="0.25">
      <c r="B213" s="764">
        <v>51094</v>
      </c>
      <c r="C213" s="751">
        <f t="shared" si="29"/>
        <v>31</v>
      </c>
      <c r="D213" s="747">
        <f t="shared" si="26"/>
        <v>0</v>
      </c>
      <c r="E213" s="747">
        <f t="shared" si="27"/>
        <v>0</v>
      </c>
      <c r="F213" s="752">
        <f t="shared" si="30"/>
        <v>0</v>
      </c>
      <c r="G213" s="753">
        <f t="shared" si="28"/>
        <v>0</v>
      </c>
      <c r="H213" s="750">
        <f t="shared" si="25"/>
        <v>0</v>
      </c>
      <c r="I213" s="688"/>
      <c r="J213" s="688"/>
      <c r="K213" s="688">
        <f t="shared" si="24"/>
        <v>2039</v>
      </c>
      <c r="L213" s="688"/>
    </row>
    <row r="214" spans="2:12" ht="15.75" thickBot="1" x14ac:dyDescent="0.3">
      <c r="B214" s="763">
        <v>51124</v>
      </c>
      <c r="C214" s="751">
        <f t="shared" si="29"/>
        <v>30</v>
      </c>
      <c r="D214" s="747">
        <f t="shared" si="26"/>
        <v>0</v>
      </c>
      <c r="E214" s="747">
        <f t="shared" si="27"/>
        <v>0</v>
      </c>
      <c r="F214" s="752">
        <f t="shared" si="30"/>
        <v>0</v>
      </c>
      <c r="G214" s="753">
        <f t="shared" si="28"/>
        <v>0</v>
      </c>
      <c r="H214" s="750">
        <f t="shared" si="25"/>
        <v>0</v>
      </c>
      <c r="I214" s="688"/>
      <c r="J214" s="688"/>
      <c r="K214" s="688">
        <f t="shared" si="24"/>
        <v>2039</v>
      </c>
      <c r="L214" s="688"/>
    </row>
    <row r="215" spans="2:12" x14ac:dyDescent="0.25">
      <c r="B215" s="764">
        <v>51155</v>
      </c>
      <c r="C215" s="751">
        <f t="shared" si="29"/>
        <v>31</v>
      </c>
      <c r="D215" s="747">
        <f t="shared" si="26"/>
        <v>0</v>
      </c>
      <c r="E215" s="747">
        <f t="shared" si="27"/>
        <v>0</v>
      </c>
      <c r="F215" s="752">
        <f t="shared" si="30"/>
        <v>0</v>
      </c>
      <c r="G215" s="753">
        <f t="shared" si="28"/>
        <v>0</v>
      </c>
      <c r="H215" s="750">
        <f t="shared" si="25"/>
        <v>0</v>
      </c>
      <c r="I215" s="688"/>
      <c r="J215" s="688"/>
      <c r="K215" s="688">
        <f t="shared" si="24"/>
        <v>2040</v>
      </c>
      <c r="L215" s="688"/>
    </row>
    <row r="216" spans="2:12" ht="15.75" thickBot="1" x14ac:dyDescent="0.3">
      <c r="B216" s="763">
        <v>51186</v>
      </c>
      <c r="C216" s="751">
        <f t="shared" si="29"/>
        <v>31</v>
      </c>
      <c r="D216" s="747">
        <f t="shared" si="26"/>
        <v>0</v>
      </c>
      <c r="E216" s="747">
        <f t="shared" si="27"/>
        <v>0</v>
      </c>
      <c r="F216" s="752">
        <f t="shared" si="30"/>
        <v>0</v>
      </c>
      <c r="G216" s="753">
        <f t="shared" si="28"/>
        <v>0</v>
      </c>
      <c r="H216" s="750">
        <f t="shared" si="25"/>
        <v>0</v>
      </c>
      <c r="I216" s="688"/>
      <c r="J216" s="688"/>
      <c r="K216" s="688">
        <f t="shared" si="24"/>
        <v>2040</v>
      </c>
      <c r="L216" s="688"/>
    </row>
    <row r="217" spans="2:12" x14ac:dyDescent="0.25">
      <c r="B217" s="764">
        <v>51215</v>
      </c>
      <c r="C217" s="751">
        <f t="shared" si="29"/>
        <v>29</v>
      </c>
      <c r="D217" s="747">
        <f t="shared" si="26"/>
        <v>0</v>
      </c>
      <c r="E217" s="747">
        <f t="shared" si="27"/>
        <v>0</v>
      </c>
      <c r="F217" s="752">
        <f t="shared" si="30"/>
        <v>0</v>
      </c>
      <c r="G217" s="753">
        <f t="shared" si="28"/>
        <v>0</v>
      </c>
      <c r="H217" s="750">
        <f t="shared" si="25"/>
        <v>0</v>
      </c>
      <c r="I217" s="688"/>
      <c r="J217" s="688"/>
      <c r="K217" s="688">
        <f t="shared" si="24"/>
        <v>2040</v>
      </c>
      <c r="L217" s="688"/>
    </row>
    <row r="218" spans="2:12" ht="15.75" thickBot="1" x14ac:dyDescent="0.3">
      <c r="B218" s="763">
        <v>51246</v>
      </c>
      <c r="C218" s="751">
        <f t="shared" si="29"/>
        <v>31</v>
      </c>
      <c r="D218" s="747">
        <f t="shared" si="26"/>
        <v>0</v>
      </c>
      <c r="E218" s="747">
        <f t="shared" si="27"/>
        <v>0</v>
      </c>
      <c r="F218" s="752">
        <f t="shared" si="30"/>
        <v>0</v>
      </c>
      <c r="G218" s="753">
        <f t="shared" si="28"/>
        <v>0</v>
      </c>
      <c r="H218" s="750">
        <f t="shared" si="25"/>
        <v>0</v>
      </c>
      <c r="I218" s="688"/>
      <c r="J218" s="688"/>
      <c r="K218" s="688">
        <f t="shared" si="24"/>
        <v>2040</v>
      </c>
      <c r="L218" s="688"/>
    </row>
    <row r="219" spans="2:12" x14ac:dyDescent="0.25">
      <c r="B219" s="764">
        <v>51276</v>
      </c>
      <c r="C219" s="751">
        <f t="shared" si="29"/>
        <v>30</v>
      </c>
      <c r="D219" s="747">
        <f t="shared" si="26"/>
        <v>0</v>
      </c>
      <c r="E219" s="747">
        <f t="shared" si="27"/>
        <v>0</v>
      </c>
      <c r="F219" s="752">
        <f t="shared" si="30"/>
        <v>0</v>
      </c>
      <c r="G219" s="753">
        <f t="shared" si="28"/>
        <v>0</v>
      </c>
      <c r="H219" s="750">
        <f t="shared" si="25"/>
        <v>0</v>
      </c>
      <c r="I219" s="688"/>
      <c r="J219" s="688"/>
      <c r="K219" s="688">
        <f t="shared" si="24"/>
        <v>2040</v>
      </c>
      <c r="L219" s="688"/>
    </row>
    <row r="220" spans="2:12" ht="15.75" thickBot="1" x14ac:dyDescent="0.3">
      <c r="B220" s="763">
        <v>51307</v>
      </c>
      <c r="C220" s="751">
        <f t="shared" si="29"/>
        <v>31</v>
      </c>
      <c r="D220" s="747">
        <f t="shared" si="26"/>
        <v>0</v>
      </c>
      <c r="E220" s="747">
        <f t="shared" si="27"/>
        <v>0</v>
      </c>
      <c r="F220" s="752">
        <f t="shared" si="30"/>
        <v>0</v>
      </c>
      <c r="G220" s="753">
        <f t="shared" si="28"/>
        <v>0</v>
      </c>
      <c r="H220" s="750">
        <f t="shared" si="25"/>
        <v>0</v>
      </c>
      <c r="I220" s="688"/>
      <c r="J220" s="688"/>
      <c r="K220" s="688">
        <f t="shared" si="24"/>
        <v>2040</v>
      </c>
      <c r="L220" s="688"/>
    </row>
    <row r="221" spans="2:12" x14ac:dyDescent="0.25">
      <c r="B221" s="764">
        <v>51337</v>
      </c>
      <c r="C221" s="751">
        <f t="shared" si="29"/>
        <v>30</v>
      </c>
      <c r="D221" s="747">
        <f t="shared" si="26"/>
        <v>0</v>
      </c>
      <c r="E221" s="747">
        <f t="shared" si="27"/>
        <v>0</v>
      </c>
      <c r="F221" s="752">
        <f t="shared" si="30"/>
        <v>0</v>
      </c>
      <c r="G221" s="753">
        <f t="shared" si="28"/>
        <v>0</v>
      </c>
      <c r="H221" s="750">
        <f t="shared" si="25"/>
        <v>0</v>
      </c>
      <c r="I221" s="688"/>
      <c r="J221" s="688"/>
      <c r="K221" s="688">
        <f t="shared" si="24"/>
        <v>2040</v>
      </c>
      <c r="L221" s="688"/>
    </row>
    <row r="222" spans="2:12" ht="15.75" thickBot="1" x14ac:dyDescent="0.3">
      <c r="B222" s="763">
        <v>51368</v>
      </c>
      <c r="C222" s="751">
        <f t="shared" si="29"/>
        <v>31</v>
      </c>
      <c r="D222" s="747">
        <f t="shared" si="26"/>
        <v>0</v>
      </c>
      <c r="E222" s="747">
        <f t="shared" si="27"/>
        <v>0</v>
      </c>
      <c r="F222" s="752">
        <f t="shared" si="30"/>
        <v>0</v>
      </c>
      <c r="G222" s="753">
        <f t="shared" si="28"/>
        <v>0</v>
      </c>
      <c r="H222" s="750">
        <f t="shared" si="25"/>
        <v>0</v>
      </c>
      <c r="I222" s="688"/>
      <c r="J222" s="688"/>
      <c r="K222" s="688">
        <f t="shared" si="24"/>
        <v>2040</v>
      </c>
      <c r="L222" s="688">
        <f>L210+1</f>
        <v>2040</v>
      </c>
    </row>
    <row r="223" spans="2:12" x14ac:dyDescent="0.25">
      <c r="B223" s="764">
        <v>51399</v>
      </c>
      <c r="C223" s="751">
        <f t="shared" si="29"/>
        <v>31</v>
      </c>
      <c r="D223" s="747">
        <f t="shared" si="26"/>
        <v>0</v>
      </c>
      <c r="E223" s="747">
        <f t="shared" si="27"/>
        <v>0</v>
      </c>
      <c r="F223" s="752">
        <f t="shared" si="30"/>
        <v>0</v>
      </c>
      <c r="G223" s="753">
        <f t="shared" si="28"/>
        <v>0</v>
      </c>
      <c r="H223" s="750">
        <f t="shared" si="25"/>
        <v>0</v>
      </c>
      <c r="I223" s="688"/>
      <c r="J223" s="688"/>
      <c r="K223" s="688">
        <f t="shared" si="24"/>
        <v>2040</v>
      </c>
      <c r="L223" s="688"/>
    </row>
    <row r="224" spans="2:12" ht="15.75" thickBot="1" x14ac:dyDescent="0.3">
      <c r="B224" s="763">
        <v>51429</v>
      </c>
      <c r="C224" s="751">
        <f t="shared" si="29"/>
        <v>30</v>
      </c>
      <c r="D224" s="747">
        <f t="shared" si="26"/>
        <v>0</v>
      </c>
      <c r="E224" s="747">
        <f t="shared" si="27"/>
        <v>0</v>
      </c>
      <c r="F224" s="752">
        <f t="shared" si="30"/>
        <v>0</v>
      </c>
      <c r="G224" s="753">
        <f t="shared" si="28"/>
        <v>0</v>
      </c>
      <c r="H224" s="750">
        <f t="shared" si="25"/>
        <v>0</v>
      </c>
      <c r="I224" s="688"/>
      <c r="J224" s="688"/>
      <c r="K224" s="688">
        <f t="shared" si="24"/>
        <v>2040</v>
      </c>
      <c r="L224" s="688"/>
    </row>
    <row r="225" spans="2:12" x14ac:dyDescent="0.25">
      <c r="B225" s="764">
        <v>51460</v>
      </c>
      <c r="C225" s="751">
        <f t="shared" si="29"/>
        <v>31</v>
      </c>
      <c r="D225" s="747">
        <f t="shared" si="26"/>
        <v>0</v>
      </c>
      <c r="E225" s="747">
        <f t="shared" si="27"/>
        <v>0</v>
      </c>
      <c r="F225" s="752">
        <f t="shared" si="30"/>
        <v>0</v>
      </c>
      <c r="G225" s="753">
        <f t="shared" si="28"/>
        <v>0</v>
      </c>
      <c r="H225" s="750">
        <f t="shared" si="25"/>
        <v>0</v>
      </c>
      <c r="I225" s="688"/>
      <c r="J225" s="688"/>
      <c r="K225" s="688">
        <f t="shared" si="24"/>
        <v>2040</v>
      </c>
      <c r="L225" s="688"/>
    </row>
    <row r="226" spans="2:12" ht="15.75" thickBot="1" x14ac:dyDescent="0.3">
      <c r="B226" s="763">
        <v>51490</v>
      </c>
      <c r="C226" s="751">
        <f t="shared" si="29"/>
        <v>30</v>
      </c>
      <c r="D226" s="747">
        <f t="shared" si="26"/>
        <v>0</v>
      </c>
      <c r="E226" s="747">
        <f t="shared" si="27"/>
        <v>0</v>
      </c>
      <c r="F226" s="752">
        <f t="shared" si="30"/>
        <v>0</v>
      </c>
      <c r="G226" s="753">
        <f t="shared" si="28"/>
        <v>0</v>
      </c>
      <c r="H226" s="750">
        <f t="shared" si="25"/>
        <v>0</v>
      </c>
      <c r="I226" s="688"/>
      <c r="J226" s="688"/>
      <c r="K226" s="688">
        <f t="shared" si="24"/>
        <v>2040</v>
      </c>
      <c r="L226" s="688"/>
    </row>
    <row r="227" spans="2:12" x14ac:dyDescent="0.25">
      <c r="B227" s="764">
        <v>51521</v>
      </c>
      <c r="C227" s="751">
        <f t="shared" si="29"/>
        <v>31</v>
      </c>
      <c r="D227" s="747">
        <f t="shared" si="26"/>
        <v>0</v>
      </c>
      <c r="E227" s="747">
        <f t="shared" si="27"/>
        <v>0</v>
      </c>
      <c r="F227" s="752">
        <f t="shared" si="30"/>
        <v>0</v>
      </c>
      <c r="G227" s="753">
        <f t="shared" si="28"/>
        <v>0</v>
      </c>
      <c r="H227" s="750">
        <f t="shared" si="25"/>
        <v>0</v>
      </c>
      <c r="I227" s="688"/>
      <c r="J227" s="688"/>
      <c r="K227" s="688">
        <f t="shared" si="24"/>
        <v>2041</v>
      </c>
      <c r="L227" s="688"/>
    </row>
    <row r="228" spans="2:12" ht="15.75" thickBot="1" x14ac:dyDescent="0.3">
      <c r="B228" s="763">
        <v>51552</v>
      </c>
      <c r="C228" s="751">
        <f t="shared" si="29"/>
        <v>31</v>
      </c>
      <c r="D228" s="747">
        <f t="shared" si="26"/>
        <v>0</v>
      </c>
      <c r="E228" s="747">
        <f t="shared" si="27"/>
        <v>0</v>
      </c>
      <c r="F228" s="752">
        <f t="shared" si="30"/>
        <v>0</v>
      </c>
      <c r="G228" s="753">
        <f t="shared" si="28"/>
        <v>0</v>
      </c>
      <c r="H228" s="750">
        <f t="shared" si="25"/>
        <v>0</v>
      </c>
      <c r="I228" s="688"/>
      <c r="J228" s="688"/>
      <c r="K228" s="688">
        <f t="shared" si="24"/>
        <v>2041</v>
      </c>
      <c r="L228" s="688"/>
    </row>
    <row r="229" spans="2:12" x14ac:dyDescent="0.25">
      <c r="B229" s="764">
        <v>51580</v>
      </c>
      <c r="C229" s="751">
        <f t="shared" si="29"/>
        <v>28</v>
      </c>
      <c r="D229" s="747">
        <f t="shared" si="26"/>
        <v>0</v>
      </c>
      <c r="E229" s="747">
        <f t="shared" si="27"/>
        <v>0</v>
      </c>
      <c r="F229" s="752">
        <f t="shared" si="30"/>
        <v>0</v>
      </c>
      <c r="G229" s="753">
        <f t="shared" si="28"/>
        <v>0</v>
      </c>
      <c r="H229" s="750">
        <f t="shared" si="25"/>
        <v>0</v>
      </c>
      <c r="I229" s="688"/>
      <c r="J229" s="688"/>
      <c r="K229" s="688">
        <f t="shared" ref="K229:K281" si="31">YEAR(B229)</f>
        <v>2041</v>
      </c>
      <c r="L229" s="688"/>
    </row>
    <row r="230" spans="2:12" ht="15.75" thickBot="1" x14ac:dyDescent="0.3">
      <c r="B230" s="763">
        <v>51611</v>
      </c>
      <c r="C230" s="751">
        <f t="shared" si="29"/>
        <v>31</v>
      </c>
      <c r="D230" s="747">
        <f t="shared" si="26"/>
        <v>0</v>
      </c>
      <c r="E230" s="747">
        <f t="shared" si="27"/>
        <v>0</v>
      </c>
      <c r="F230" s="752">
        <f t="shared" si="30"/>
        <v>0</v>
      </c>
      <c r="G230" s="753">
        <f t="shared" si="28"/>
        <v>0</v>
      </c>
      <c r="H230" s="750">
        <f t="shared" si="25"/>
        <v>0</v>
      </c>
      <c r="I230" s="688"/>
      <c r="J230" s="688"/>
      <c r="K230" s="688">
        <f t="shared" si="31"/>
        <v>2041</v>
      </c>
      <c r="L230" s="688"/>
    </row>
    <row r="231" spans="2:12" x14ac:dyDescent="0.25">
      <c r="B231" s="764">
        <v>51641</v>
      </c>
      <c r="C231" s="751">
        <f t="shared" si="29"/>
        <v>30</v>
      </c>
      <c r="D231" s="747">
        <f t="shared" si="26"/>
        <v>0</v>
      </c>
      <c r="E231" s="747">
        <f t="shared" si="27"/>
        <v>0</v>
      </c>
      <c r="F231" s="752">
        <f t="shared" si="30"/>
        <v>0</v>
      </c>
      <c r="G231" s="753">
        <f t="shared" si="28"/>
        <v>0</v>
      </c>
      <c r="H231" s="750">
        <f t="shared" si="25"/>
        <v>0</v>
      </c>
      <c r="I231" s="688"/>
      <c r="J231" s="688"/>
      <c r="K231" s="688">
        <f t="shared" si="31"/>
        <v>2041</v>
      </c>
      <c r="L231" s="688"/>
    </row>
    <row r="232" spans="2:12" ht="15.75" thickBot="1" x14ac:dyDescent="0.3">
      <c r="B232" s="763">
        <v>51672</v>
      </c>
      <c r="C232" s="751">
        <f t="shared" si="29"/>
        <v>31</v>
      </c>
      <c r="D232" s="747">
        <f t="shared" si="26"/>
        <v>0</v>
      </c>
      <c r="E232" s="747">
        <f t="shared" si="27"/>
        <v>0</v>
      </c>
      <c r="F232" s="752">
        <f t="shared" si="30"/>
        <v>0</v>
      </c>
      <c r="G232" s="753">
        <f t="shared" si="28"/>
        <v>0</v>
      </c>
      <c r="H232" s="750">
        <f t="shared" si="25"/>
        <v>0</v>
      </c>
      <c r="I232" s="688"/>
      <c r="J232" s="688"/>
      <c r="K232" s="688">
        <f t="shared" si="31"/>
        <v>2041</v>
      </c>
      <c r="L232" s="688"/>
    </row>
    <row r="233" spans="2:12" x14ac:dyDescent="0.25">
      <c r="B233" s="764">
        <v>51702</v>
      </c>
      <c r="C233" s="751">
        <f t="shared" si="29"/>
        <v>30</v>
      </c>
      <c r="D233" s="747">
        <f t="shared" si="26"/>
        <v>0</v>
      </c>
      <c r="E233" s="747">
        <f t="shared" si="27"/>
        <v>0</v>
      </c>
      <c r="F233" s="752">
        <f t="shared" si="30"/>
        <v>0</v>
      </c>
      <c r="G233" s="753">
        <f t="shared" si="28"/>
        <v>0</v>
      </c>
      <c r="H233" s="750">
        <f t="shared" si="25"/>
        <v>0</v>
      </c>
      <c r="I233" s="688"/>
      <c r="J233" s="688"/>
      <c r="K233" s="688">
        <f t="shared" si="31"/>
        <v>2041</v>
      </c>
      <c r="L233" s="688"/>
    </row>
    <row r="234" spans="2:12" ht="15.75" thickBot="1" x14ac:dyDescent="0.3">
      <c r="B234" s="763">
        <v>51733</v>
      </c>
      <c r="C234" s="751">
        <f t="shared" si="29"/>
        <v>31</v>
      </c>
      <c r="D234" s="747">
        <f t="shared" si="26"/>
        <v>0</v>
      </c>
      <c r="E234" s="747">
        <f t="shared" si="27"/>
        <v>0</v>
      </c>
      <c r="F234" s="752">
        <f t="shared" si="30"/>
        <v>0</v>
      </c>
      <c r="G234" s="753">
        <f t="shared" si="28"/>
        <v>0</v>
      </c>
      <c r="H234" s="750">
        <f t="shared" si="25"/>
        <v>0</v>
      </c>
      <c r="I234" s="688"/>
      <c r="J234" s="688"/>
      <c r="K234" s="688">
        <f t="shared" si="31"/>
        <v>2041</v>
      </c>
      <c r="L234" s="688">
        <f>L222+1</f>
        <v>2041</v>
      </c>
    </row>
    <row r="235" spans="2:12" x14ac:dyDescent="0.25">
      <c r="B235" s="764">
        <v>51764</v>
      </c>
      <c r="C235" s="751">
        <f t="shared" si="29"/>
        <v>31</v>
      </c>
      <c r="D235" s="747">
        <f t="shared" si="26"/>
        <v>0</v>
      </c>
      <c r="E235" s="747">
        <f t="shared" si="27"/>
        <v>0</v>
      </c>
      <c r="F235" s="752">
        <f t="shared" si="30"/>
        <v>0</v>
      </c>
      <c r="G235" s="753">
        <f t="shared" si="28"/>
        <v>0</v>
      </c>
      <c r="H235" s="750">
        <f t="shared" si="25"/>
        <v>0</v>
      </c>
      <c r="I235" s="688"/>
      <c r="J235" s="688"/>
      <c r="K235" s="688">
        <f t="shared" si="31"/>
        <v>2041</v>
      </c>
      <c r="L235" s="688"/>
    </row>
    <row r="236" spans="2:12" ht="15.75" thickBot="1" x14ac:dyDescent="0.3">
      <c r="B236" s="763">
        <v>51794</v>
      </c>
      <c r="C236" s="751">
        <f t="shared" si="29"/>
        <v>30</v>
      </c>
      <c r="D236" s="747">
        <f t="shared" si="26"/>
        <v>0</v>
      </c>
      <c r="E236" s="747">
        <f t="shared" si="27"/>
        <v>0</v>
      </c>
      <c r="F236" s="752">
        <f t="shared" si="30"/>
        <v>0</v>
      </c>
      <c r="G236" s="753">
        <f t="shared" si="28"/>
        <v>0</v>
      </c>
      <c r="H236" s="750">
        <f t="shared" ref="H236:H281" si="32">$H$43</f>
        <v>0</v>
      </c>
      <c r="I236" s="688"/>
      <c r="J236" s="688"/>
      <c r="K236" s="688">
        <f t="shared" si="31"/>
        <v>2041</v>
      </c>
      <c r="L236" s="688"/>
    </row>
    <row r="237" spans="2:12" x14ac:dyDescent="0.25">
      <c r="B237" s="764">
        <v>51825</v>
      </c>
      <c r="C237" s="751">
        <f t="shared" si="29"/>
        <v>31</v>
      </c>
      <c r="D237" s="747">
        <f t="shared" si="26"/>
        <v>0</v>
      </c>
      <c r="E237" s="747">
        <f t="shared" si="27"/>
        <v>0</v>
      </c>
      <c r="F237" s="752">
        <f t="shared" si="30"/>
        <v>0</v>
      </c>
      <c r="G237" s="753">
        <f t="shared" si="28"/>
        <v>0</v>
      </c>
      <c r="H237" s="750">
        <f t="shared" si="32"/>
        <v>0</v>
      </c>
      <c r="I237" s="688"/>
      <c r="J237" s="688"/>
      <c r="K237" s="688">
        <f t="shared" si="31"/>
        <v>2041</v>
      </c>
      <c r="L237" s="688"/>
    </row>
    <row r="238" spans="2:12" ht="15.75" thickBot="1" x14ac:dyDescent="0.3">
      <c r="B238" s="763">
        <v>51855</v>
      </c>
      <c r="C238" s="751">
        <f t="shared" si="29"/>
        <v>30</v>
      </c>
      <c r="D238" s="747">
        <f t="shared" si="26"/>
        <v>0</v>
      </c>
      <c r="E238" s="747">
        <f t="shared" si="27"/>
        <v>0</v>
      </c>
      <c r="F238" s="752">
        <f t="shared" si="30"/>
        <v>0</v>
      </c>
      <c r="G238" s="753">
        <f t="shared" si="28"/>
        <v>0</v>
      </c>
      <c r="H238" s="750">
        <f t="shared" si="32"/>
        <v>0</v>
      </c>
      <c r="I238" s="688"/>
      <c r="J238" s="688"/>
      <c r="K238" s="688">
        <f t="shared" si="31"/>
        <v>2041</v>
      </c>
      <c r="L238" s="688"/>
    </row>
    <row r="239" spans="2:12" x14ac:dyDescent="0.25">
      <c r="B239" s="764">
        <v>51886</v>
      </c>
      <c r="C239" s="751">
        <f t="shared" si="29"/>
        <v>31</v>
      </c>
      <c r="D239" s="747">
        <f t="shared" si="26"/>
        <v>0</v>
      </c>
      <c r="E239" s="747">
        <f t="shared" si="27"/>
        <v>0</v>
      </c>
      <c r="F239" s="752">
        <f t="shared" si="30"/>
        <v>0</v>
      </c>
      <c r="G239" s="753">
        <f t="shared" si="28"/>
        <v>0</v>
      </c>
      <c r="H239" s="750">
        <f t="shared" si="32"/>
        <v>0</v>
      </c>
      <c r="I239" s="688"/>
      <c r="J239" s="688"/>
      <c r="K239" s="688">
        <f t="shared" si="31"/>
        <v>2042</v>
      </c>
      <c r="L239" s="688"/>
    </row>
    <row r="240" spans="2:12" ht="15.75" thickBot="1" x14ac:dyDescent="0.3">
      <c r="B240" s="763">
        <v>51917</v>
      </c>
      <c r="C240" s="751">
        <f t="shared" si="29"/>
        <v>31</v>
      </c>
      <c r="D240" s="747">
        <f t="shared" si="26"/>
        <v>0</v>
      </c>
      <c r="E240" s="747">
        <f t="shared" si="27"/>
        <v>0</v>
      </c>
      <c r="F240" s="752">
        <f t="shared" si="30"/>
        <v>0</v>
      </c>
      <c r="G240" s="753">
        <f t="shared" si="28"/>
        <v>0</v>
      </c>
      <c r="H240" s="750">
        <f t="shared" si="32"/>
        <v>0</v>
      </c>
      <c r="I240" s="688"/>
      <c r="J240" s="688"/>
      <c r="K240" s="688">
        <f t="shared" si="31"/>
        <v>2042</v>
      </c>
      <c r="L240" s="688"/>
    </row>
    <row r="241" spans="2:12" x14ac:dyDescent="0.25">
      <c r="B241" s="764">
        <v>51945</v>
      </c>
      <c r="C241" s="751">
        <f t="shared" si="29"/>
        <v>28</v>
      </c>
      <c r="D241" s="747">
        <f t="shared" ref="D241:D281" si="33">IF(F240&lt;=0.1,0,$F$42/$G$39)</f>
        <v>0</v>
      </c>
      <c r="E241" s="747">
        <f t="shared" si="27"/>
        <v>0</v>
      </c>
      <c r="F241" s="752">
        <f t="shared" si="30"/>
        <v>0</v>
      </c>
      <c r="G241" s="753">
        <f t="shared" si="28"/>
        <v>0</v>
      </c>
      <c r="H241" s="750">
        <f t="shared" si="32"/>
        <v>0</v>
      </c>
      <c r="I241" s="688"/>
      <c r="J241" s="688"/>
      <c r="K241" s="688">
        <f t="shared" si="31"/>
        <v>2042</v>
      </c>
      <c r="L241" s="688"/>
    </row>
    <row r="242" spans="2:12" ht="15.75" thickBot="1" x14ac:dyDescent="0.3">
      <c r="B242" s="763">
        <v>51976</v>
      </c>
      <c r="C242" s="751">
        <f t="shared" si="29"/>
        <v>31</v>
      </c>
      <c r="D242" s="747">
        <f t="shared" si="33"/>
        <v>0</v>
      </c>
      <c r="E242" s="747">
        <f t="shared" si="27"/>
        <v>0</v>
      </c>
      <c r="F242" s="752">
        <f t="shared" si="30"/>
        <v>0</v>
      </c>
      <c r="G242" s="753">
        <f t="shared" si="28"/>
        <v>0</v>
      </c>
      <c r="H242" s="750">
        <f t="shared" si="32"/>
        <v>0</v>
      </c>
      <c r="I242" s="688"/>
      <c r="J242" s="688"/>
      <c r="K242" s="688">
        <f t="shared" si="31"/>
        <v>2042</v>
      </c>
      <c r="L242" s="688"/>
    </row>
    <row r="243" spans="2:12" x14ac:dyDescent="0.25">
      <c r="B243" s="764">
        <v>52006</v>
      </c>
      <c r="C243" s="751">
        <f t="shared" si="29"/>
        <v>30</v>
      </c>
      <c r="D243" s="747">
        <f t="shared" si="33"/>
        <v>0</v>
      </c>
      <c r="E243" s="747">
        <f t="shared" si="27"/>
        <v>0</v>
      </c>
      <c r="F243" s="752">
        <f t="shared" si="30"/>
        <v>0</v>
      </c>
      <c r="G243" s="753">
        <f t="shared" si="28"/>
        <v>0</v>
      </c>
      <c r="H243" s="750">
        <f t="shared" si="32"/>
        <v>0</v>
      </c>
      <c r="I243" s="688"/>
      <c r="J243" s="688"/>
      <c r="K243" s="688">
        <f t="shared" si="31"/>
        <v>2042</v>
      </c>
      <c r="L243" s="688"/>
    </row>
    <row r="244" spans="2:12" ht="15.75" thickBot="1" x14ac:dyDescent="0.3">
      <c r="B244" s="763">
        <v>52037</v>
      </c>
      <c r="C244" s="751">
        <f t="shared" si="29"/>
        <v>31</v>
      </c>
      <c r="D244" s="747">
        <f t="shared" si="33"/>
        <v>0</v>
      </c>
      <c r="E244" s="747">
        <f t="shared" si="27"/>
        <v>0</v>
      </c>
      <c r="F244" s="752">
        <f t="shared" si="30"/>
        <v>0</v>
      </c>
      <c r="G244" s="753">
        <f t="shared" si="28"/>
        <v>0</v>
      </c>
      <c r="H244" s="750">
        <f t="shared" si="32"/>
        <v>0</v>
      </c>
      <c r="I244" s="688"/>
      <c r="J244" s="688"/>
      <c r="K244" s="688">
        <f t="shared" si="31"/>
        <v>2042</v>
      </c>
      <c r="L244" s="688"/>
    </row>
    <row r="245" spans="2:12" x14ac:dyDescent="0.25">
      <c r="B245" s="764">
        <v>52067</v>
      </c>
      <c r="C245" s="751">
        <f t="shared" si="29"/>
        <v>30</v>
      </c>
      <c r="D245" s="747">
        <f t="shared" si="33"/>
        <v>0</v>
      </c>
      <c r="E245" s="747">
        <f t="shared" si="27"/>
        <v>0</v>
      </c>
      <c r="F245" s="752">
        <f t="shared" si="30"/>
        <v>0</v>
      </c>
      <c r="G245" s="753">
        <f t="shared" si="28"/>
        <v>0</v>
      </c>
      <c r="H245" s="750">
        <f t="shared" si="32"/>
        <v>0</v>
      </c>
      <c r="I245" s="688"/>
      <c r="J245" s="688"/>
      <c r="K245" s="688">
        <f t="shared" si="31"/>
        <v>2042</v>
      </c>
      <c r="L245" s="688"/>
    </row>
    <row r="246" spans="2:12" ht="15.75" thickBot="1" x14ac:dyDescent="0.3">
      <c r="B246" s="763">
        <v>52098</v>
      </c>
      <c r="C246" s="751">
        <f t="shared" si="29"/>
        <v>31</v>
      </c>
      <c r="D246" s="747">
        <f t="shared" si="33"/>
        <v>0</v>
      </c>
      <c r="E246" s="747">
        <f t="shared" si="27"/>
        <v>0</v>
      </c>
      <c r="F246" s="752">
        <f t="shared" si="30"/>
        <v>0</v>
      </c>
      <c r="G246" s="753">
        <f t="shared" si="28"/>
        <v>0</v>
      </c>
      <c r="H246" s="750">
        <f t="shared" si="32"/>
        <v>0</v>
      </c>
      <c r="I246" s="688"/>
      <c r="J246" s="688"/>
      <c r="K246" s="688">
        <f t="shared" si="31"/>
        <v>2042</v>
      </c>
      <c r="L246" s="688">
        <f>L234+1</f>
        <v>2042</v>
      </c>
    </row>
    <row r="247" spans="2:12" x14ac:dyDescent="0.25">
      <c r="B247" s="764">
        <v>52129</v>
      </c>
      <c r="C247" s="751">
        <f t="shared" si="29"/>
        <v>31</v>
      </c>
      <c r="D247" s="747">
        <f t="shared" si="33"/>
        <v>0</v>
      </c>
      <c r="E247" s="747">
        <f t="shared" ref="E247:E281" si="34">IF(D247&lt;0.1,0,(F246*C247*H247/36500))</f>
        <v>0</v>
      </c>
      <c r="F247" s="752">
        <f t="shared" si="30"/>
        <v>0</v>
      </c>
      <c r="G247" s="753">
        <f t="shared" si="28"/>
        <v>0</v>
      </c>
      <c r="H247" s="750">
        <f t="shared" si="32"/>
        <v>0</v>
      </c>
      <c r="I247" s="688"/>
      <c r="J247" s="688"/>
      <c r="K247" s="688">
        <f t="shared" si="31"/>
        <v>2042</v>
      </c>
      <c r="L247" s="688"/>
    </row>
    <row r="248" spans="2:12" ht="15.75" thickBot="1" x14ac:dyDescent="0.3">
      <c r="B248" s="763">
        <v>52159</v>
      </c>
      <c r="C248" s="751">
        <f t="shared" si="29"/>
        <v>30</v>
      </c>
      <c r="D248" s="747">
        <f t="shared" si="33"/>
        <v>0</v>
      </c>
      <c r="E248" s="747">
        <f t="shared" si="34"/>
        <v>0</v>
      </c>
      <c r="F248" s="752">
        <f t="shared" si="30"/>
        <v>0</v>
      </c>
      <c r="G248" s="753">
        <f t="shared" si="28"/>
        <v>0</v>
      </c>
      <c r="H248" s="750">
        <f t="shared" si="32"/>
        <v>0</v>
      </c>
      <c r="I248" s="688"/>
      <c r="J248" s="688"/>
      <c r="K248" s="688">
        <f t="shared" si="31"/>
        <v>2042</v>
      </c>
      <c r="L248" s="688"/>
    </row>
    <row r="249" spans="2:12" x14ac:dyDescent="0.25">
      <c r="B249" s="764">
        <v>52190</v>
      </c>
      <c r="C249" s="751">
        <f t="shared" si="29"/>
        <v>31</v>
      </c>
      <c r="D249" s="747">
        <f t="shared" si="33"/>
        <v>0</v>
      </c>
      <c r="E249" s="747">
        <f t="shared" si="34"/>
        <v>0</v>
      </c>
      <c r="F249" s="752">
        <f t="shared" si="30"/>
        <v>0</v>
      </c>
      <c r="G249" s="753">
        <f t="shared" ref="G249:G281" si="35">D249+E249</f>
        <v>0</v>
      </c>
      <c r="H249" s="750">
        <f t="shared" si="32"/>
        <v>0</v>
      </c>
      <c r="I249" s="688"/>
      <c r="J249" s="688"/>
      <c r="K249" s="688">
        <f t="shared" si="31"/>
        <v>2042</v>
      </c>
      <c r="L249" s="688"/>
    </row>
    <row r="250" spans="2:12" ht="15.75" thickBot="1" x14ac:dyDescent="0.3">
      <c r="B250" s="763">
        <v>52220</v>
      </c>
      <c r="C250" s="751">
        <f t="shared" ref="C250:C281" si="36">B250-B249</f>
        <v>30</v>
      </c>
      <c r="D250" s="747">
        <f t="shared" si="33"/>
        <v>0</v>
      </c>
      <c r="E250" s="747">
        <f t="shared" si="34"/>
        <v>0</v>
      </c>
      <c r="F250" s="752">
        <f t="shared" si="30"/>
        <v>0</v>
      </c>
      <c r="G250" s="753">
        <f t="shared" si="35"/>
        <v>0</v>
      </c>
      <c r="H250" s="750">
        <f t="shared" si="32"/>
        <v>0</v>
      </c>
      <c r="I250" s="688"/>
      <c r="J250" s="688"/>
      <c r="K250" s="688">
        <f t="shared" si="31"/>
        <v>2042</v>
      </c>
      <c r="L250" s="688"/>
    </row>
    <row r="251" spans="2:12" x14ac:dyDescent="0.25">
      <c r="B251" s="764">
        <v>52251</v>
      </c>
      <c r="C251" s="751">
        <f t="shared" si="36"/>
        <v>31</v>
      </c>
      <c r="D251" s="747">
        <f t="shared" si="33"/>
        <v>0</v>
      </c>
      <c r="E251" s="747">
        <f t="shared" si="34"/>
        <v>0</v>
      </c>
      <c r="F251" s="752">
        <f t="shared" si="30"/>
        <v>0</v>
      </c>
      <c r="G251" s="753">
        <f t="shared" si="35"/>
        <v>0</v>
      </c>
      <c r="H251" s="750">
        <f t="shared" si="32"/>
        <v>0</v>
      </c>
      <c r="I251" s="688"/>
      <c r="J251" s="688"/>
      <c r="K251" s="688">
        <f t="shared" si="31"/>
        <v>2043</v>
      </c>
      <c r="L251" s="688"/>
    </row>
    <row r="252" spans="2:12" ht="15.75" thickBot="1" x14ac:dyDescent="0.3">
      <c r="B252" s="763">
        <v>52282</v>
      </c>
      <c r="C252" s="751">
        <f t="shared" si="36"/>
        <v>31</v>
      </c>
      <c r="D252" s="747">
        <f t="shared" si="33"/>
        <v>0</v>
      </c>
      <c r="E252" s="747">
        <f t="shared" si="34"/>
        <v>0</v>
      </c>
      <c r="F252" s="752">
        <f t="shared" si="30"/>
        <v>0</v>
      </c>
      <c r="G252" s="753">
        <f t="shared" si="35"/>
        <v>0</v>
      </c>
      <c r="H252" s="750">
        <f t="shared" si="32"/>
        <v>0</v>
      </c>
      <c r="I252" s="688"/>
      <c r="J252" s="688"/>
      <c r="K252" s="688">
        <f t="shared" si="31"/>
        <v>2043</v>
      </c>
      <c r="L252" s="688"/>
    </row>
    <row r="253" spans="2:12" x14ac:dyDescent="0.25">
      <c r="B253" s="764">
        <v>52310</v>
      </c>
      <c r="C253" s="751">
        <f t="shared" si="36"/>
        <v>28</v>
      </c>
      <c r="D253" s="747">
        <f t="shared" si="33"/>
        <v>0</v>
      </c>
      <c r="E253" s="747">
        <f t="shared" si="34"/>
        <v>0</v>
      </c>
      <c r="F253" s="752">
        <f t="shared" si="30"/>
        <v>0</v>
      </c>
      <c r="G253" s="753">
        <f t="shared" si="35"/>
        <v>0</v>
      </c>
      <c r="H253" s="750">
        <f t="shared" si="32"/>
        <v>0</v>
      </c>
      <c r="I253" s="688"/>
      <c r="J253" s="688"/>
      <c r="K253" s="688">
        <f t="shared" si="31"/>
        <v>2043</v>
      </c>
      <c r="L253" s="688"/>
    </row>
    <row r="254" spans="2:12" ht="15.75" thickBot="1" x14ac:dyDescent="0.3">
      <c r="B254" s="763">
        <v>52341</v>
      </c>
      <c r="C254" s="751">
        <f t="shared" si="36"/>
        <v>31</v>
      </c>
      <c r="D254" s="747">
        <f t="shared" si="33"/>
        <v>0</v>
      </c>
      <c r="E254" s="747">
        <f t="shared" si="34"/>
        <v>0</v>
      </c>
      <c r="F254" s="752">
        <f t="shared" si="30"/>
        <v>0</v>
      </c>
      <c r="G254" s="753">
        <f t="shared" si="35"/>
        <v>0</v>
      </c>
      <c r="H254" s="750">
        <f t="shared" si="32"/>
        <v>0</v>
      </c>
      <c r="I254" s="688"/>
      <c r="J254" s="688"/>
      <c r="K254" s="688">
        <f t="shared" si="31"/>
        <v>2043</v>
      </c>
      <c r="L254" s="688"/>
    </row>
    <row r="255" spans="2:12" x14ac:dyDescent="0.25">
      <c r="B255" s="764">
        <v>52371</v>
      </c>
      <c r="C255" s="751">
        <f t="shared" si="36"/>
        <v>30</v>
      </c>
      <c r="D255" s="747">
        <f t="shared" si="33"/>
        <v>0</v>
      </c>
      <c r="E255" s="747">
        <f t="shared" si="34"/>
        <v>0</v>
      </c>
      <c r="F255" s="752">
        <f t="shared" si="30"/>
        <v>0</v>
      </c>
      <c r="G255" s="753">
        <f t="shared" si="35"/>
        <v>0</v>
      </c>
      <c r="H255" s="750">
        <f t="shared" si="32"/>
        <v>0</v>
      </c>
      <c r="I255" s="688"/>
      <c r="J255" s="688"/>
      <c r="K255" s="688">
        <f t="shared" si="31"/>
        <v>2043</v>
      </c>
      <c r="L255" s="688"/>
    </row>
    <row r="256" spans="2:12" ht="15.75" thickBot="1" x14ac:dyDescent="0.3">
      <c r="B256" s="763">
        <v>52402</v>
      </c>
      <c r="C256" s="751">
        <f t="shared" si="36"/>
        <v>31</v>
      </c>
      <c r="D256" s="747">
        <f t="shared" si="33"/>
        <v>0</v>
      </c>
      <c r="E256" s="747">
        <f t="shared" si="34"/>
        <v>0</v>
      </c>
      <c r="F256" s="752">
        <f t="shared" si="30"/>
        <v>0</v>
      </c>
      <c r="G256" s="753">
        <f t="shared" si="35"/>
        <v>0</v>
      </c>
      <c r="H256" s="750">
        <f t="shared" si="32"/>
        <v>0</v>
      </c>
      <c r="I256" s="688"/>
      <c r="J256" s="688"/>
      <c r="K256" s="688">
        <f t="shared" si="31"/>
        <v>2043</v>
      </c>
      <c r="L256" s="688"/>
    </row>
    <row r="257" spans="2:12" x14ac:dyDescent="0.25">
      <c r="B257" s="764">
        <v>52432</v>
      </c>
      <c r="C257" s="751">
        <f t="shared" si="36"/>
        <v>30</v>
      </c>
      <c r="D257" s="747">
        <f t="shared" si="33"/>
        <v>0</v>
      </c>
      <c r="E257" s="747">
        <f t="shared" si="34"/>
        <v>0</v>
      </c>
      <c r="F257" s="752">
        <f t="shared" si="30"/>
        <v>0</v>
      </c>
      <c r="G257" s="753">
        <f t="shared" si="35"/>
        <v>0</v>
      </c>
      <c r="H257" s="750">
        <f t="shared" si="32"/>
        <v>0</v>
      </c>
      <c r="I257" s="688"/>
      <c r="J257" s="688"/>
      <c r="K257" s="688">
        <f t="shared" si="31"/>
        <v>2043</v>
      </c>
      <c r="L257" s="688"/>
    </row>
    <row r="258" spans="2:12" ht="15.75" thickBot="1" x14ac:dyDescent="0.3">
      <c r="B258" s="763">
        <v>52463</v>
      </c>
      <c r="C258" s="751">
        <f t="shared" si="36"/>
        <v>31</v>
      </c>
      <c r="D258" s="747">
        <f t="shared" si="33"/>
        <v>0</v>
      </c>
      <c r="E258" s="747">
        <f t="shared" si="34"/>
        <v>0</v>
      </c>
      <c r="F258" s="752">
        <f t="shared" si="30"/>
        <v>0</v>
      </c>
      <c r="G258" s="753">
        <f t="shared" si="35"/>
        <v>0</v>
      </c>
      <c r="H258" s="750">
        <f t="shared" si="32"/>
        <v>0</v>
      </c>
      <c r="I258" s="688"/>
      <c r="J258" s="688"/>
      <c r="K258" s="688">
        <f t="shared" si="31"/>
        <v>2043</v>
      </c>
      <c r="L258" s="688">
        <f>L246+1</f>
        <v>2043</v>
      </c>
    </row>
    <row r="259" spans="2:12" x14ac:dyDescent="0.25">
      <c r="B259" s="764">
        <v>52494</v>
      </c>
      <c r="C259" s="751">
        <f t="shared" si="36"/>
        <v>31</v>
      </c>
      <c r="D259" s="747">
        <f t="shared" si="33"/>
        <v>0</v>
      </c>
      <c r="E259" s="747">
        <f t="shared" si="34"/>
        <v>0</v>
      </c>
      <c r="F259" s="752">
        <f t="shared" si="30"/>
        <v>0</v>
      </c>
      <c r="G259" s="753">
        <f t="shared" si="35"/>
        <v>0</v>
      </c>
      <c r="H259" s="750">
        <f t="shared" si="32"/>
        <v>0</v>
      </c>
      <c r="I259" s="688"/>
      <c r="J259" s="688"/>
      <c r="K259" s="688">
        <f t="shared" si="31"/>
        <v>2043</v>
      </c>
      <c r="L259" s="688"/>
    </row>
    <row r="260" spans="2:12" ht="15.75" thickBot="1" x14ac:dyDescent="0.3">
      <c r="B260" s="763">
        <v>52524</v>
      </c>
      <c r="C260" s="751">
        <f t="shared" si="36"/>
        <v>30</v>
      </c>
      <c r="D260" s="747">
        <f t="shared" si="33"/>
        <v>0</v>
      </c>
      <c r="E260" s="747">
        <f t="shared" si="34"/>
        <v>0</v>
      </c>
      <c r="F260" s="752">
        <f t="shared" si="30"/>
        <v>0</v>
      </c>
      <c r="G260" s="753">
        <f t="shared" si="35"/>
        <v>0</v>
      </c>
      <c r="H260" s="750">
        <f t="shared" si="32"/>
        <v>0</v>
      </c>
      <c r="I260" s="688"/>
      <c r="J260" s="688"/>
      <c r="K260" s="688">
        <f t="shared" si="31"/>
        <v>2043</v>
      </c>
      <c r="L260" s="688"/>
    </row>
    <row r="261" spans="2:12" x14ac:dyDescent="0.25">
      <c r="B261" s="764">
        <v>52555</v>
      </c>
      <c r="C261" s="751">
        <f t="shared" si="36"/>
        <v>31</v>
      </c>
      <c r="D261" s="747">
        <f t="shared" si="33"/>
        <v>0</v>
      </c>
      <c r="E261" s="747">
        <f t="shared" si="34"/>
        <v>0</v>
      </c>
      <c r="F261" s="752">
        <f t="shared" si="30"/>
        <v>0</v>
      </c>
      <c r="G261" s="753">
        <f t="shared" si="35"/>
        <v>0</v>
      </c>
      <c r="H261" s="750">
        <f t="shared" si="32"/>
        <v>0</v>
      </c>
      <c r="I261" s="688"/>
      <c r="J261" s="688"/>
      <c r="K261" s="688">
        <f t="shared" si="31"/>
        <v>2043</v>
      </c>
      <c r="L261" s="688"/>
    </row>
    <row r="262" spans="2:12" ht="15.75" thickBot="1" x14ac:dyDescent="0.3">
      <c r="B262" s="763">
        <v>52585</v>
      </c>
      <c r="C262" s="751">
        <f t="shared" si="36"/>
        <v>30</v>
      </c>
      <c r="D262" s="747">
        <f t="shared" si="33"/>
        <v>0</v>
      </c>
      <c r="E262" s="747">
        <f t="shared" si="34"/>
        <v>0</v>
      </c>
      <c r="F262" s="752">
        <f t="shared" si="30"/>
        <v>0</v>
      </c>
      <c r="G262" s="753">
        <f t="shared" si="35"/>
        <v>0</v>
      </c>
      <c r="H262" s="750">
        <f t="shared" si="32"/>
        <v>0</v>
      </c>
      <c r="I262" s="688"/>
      <c r="J262" s="688"/>
      <c r="K262" s="688">
        <f t="shared" si="31"/>
        <v>2043</v>
      </c>
      <c r="L262" s="688"/>
    </row>
    <row r="263" spans="2:12" x14ac:dyDescent="0.25">
      <c r="B263" s="764">
        <v>52616</v>
      </c>
      <c r="C263" s="751">
        <f t="shared" si="36"/>
        <v>31</v>
      </c>
      <c r="D263" s="747">
        <f t="shared" si="33"/>
        <v>0</v>
      </c>
      <c r="E263" s="747">
        <f t="shared" si="34"/>
        <v>0</v>
      </c>
      <c r="F263" s="752">
        <f t="shared" si="30"/>
        <v>0</v>
      </c>
      <c r="G263" s="753">
        <f t="shared" si="35"/>
        <v>0</v>
      </c>
      <c r="H263" s="750">
        <f t="shared" si="32"/>
        <v>0</v>
      </c>
      <c r="I263" s="688"/>
      <c r="J263" s="688"/>
      <c r="K263" s="688">
        <f t="shared" si="31"/>
        <v>2044</v>
      </c>
      <c r="L263" s="688"/>
    </row>
    <row r="264" spans="2:12" ht="15.75" thickBot="1" x14ac:dyDescent="0.3">
      <c r="B264" s="763">
        <v>52647</v>
      </c>
      <c r="C264" s="751">
        <f t="shared" si="36"/>
        <v>31</v>
      </c>
      <c r="D264" s="747">
        <f t="shared" si="33"/>
        <v>0</v>
      </c>
      <c r="E264" s="747">
        <f t="shared" si="34"/>
        <v>0</v>
      </c>
      <c r="F264" s="752">
        <f t="shared" si="30"/>
        <v>0</v>
      </c>
      <c r="G264" s="753">
        <f t="shared" si="35"/>
        <v>0</v>
      </c>
      <c r="H264" s="750">
        <f t="shared" si="32"/>
        <v>0</v>
      </c>
      <c r="I264" s="688"/>
      <c r="J264" s="688"/>
      <c r="K264" s="688">
        <f t="shared" si="31"/>
        <v>2044</v>
      </c>
      <c r="L264" s="688"/>
    </row>
    <row r="265" spans="2:12" x14ac:dyDescent="0.25">
      <c r="B265" s="764">
        <v>52676</v>
      </c>
      <c r="C265" s="751">
        <f t="shared" si="36"/>
        <v>29</v>
      </c>
      <c r="D265" s="747">
        <f t="shared" si="33"/>
        <v>0</v>
      </c>
      <c r="E265" s="747">
        <f t="shared" si="34"/>
        <v>0</v>
      </c>
      <c r="F265" s="752">
        <f t="shared" si="30"/>
        <v>0</v>
      </c>
      <c r="G265" s="753">
        <f t="shared" si="35"/>
        <v>0</v>
      </c>
      <c r="H265" s="750">
        <f t="shared" si="32"/>
        <v>0</v>
      </c>
      <c r="I265" s="688"/>
      <c r="J265" s="688"/>
      <c r="K265" s="688">
        <f t="shared" si="31"/>
        <v>2044</v>
      </c>
      <c r="L265" s="688"/>
    </row>
    <row r="266" spans="2:12" ht="15.75" thickBot="1" x14ac:dyDescent="0.3">
      <c r="B266" s="763">
        <v>52707</v>
      </c>
      <c r="C266" s="751">
        <f t="shared" si="36"/>
        <v>31</v>
      </c>
      <c r="D266" s="747">
        <f t="shared" si="33"/>
        <v>0</v>
      </c>
      <c r="E266" s="747">
        <f t="shared" si="34"/>
        <v>0</v>
      </c>
      <c r="F266" s="752">
        <f t="shared" si="30"/>
        <v>0</v>
      </c>
      <c r="G266" s="753">
        <f t="shared" si="35"/>
        <v>0</v>
      </c>
      <c r="H266" s="750">
        <f t="shared" si="32"/>
        <v>0</v>
      </c>
      <c r="I266" s="688"/>
      <c r="J266" s="688"/>
      <c r="K266" s="688">
        <f t="shared" si="31"/>
        <v>2044</v>
      </c>
      <c r="L266" s="688"/>
    </row>
    <row r="267" spans="2:12" x14ac:dyDescent="0.25">
      <c r="B267" s="764">
        <v>52737</v>
      </c>
      <c r="C267" s="751">
        <f t="shared" si="36"/>
        <v>30</v>
      </c>
      <c r="D267" s="747">
        <f t="shared" si="33"/>
        <v>0</v>
      </c>
      <c r="E267" s="747">
        <f t="shared" si="34"/>
        <v>0</v>
      </c>
      <c r="F267" s="752">
        <f t="shared" ref="F267:F281" si="37">F266-D267</f>
        <v>0</v>
      </c>
      <c r="G267" s="753">
        <f t="shared" si="35"/>
        <v>0</v>
      </c>
      <c r="H267" s="750">
        <f t="shared" si="32"/>
        <v>0</v>
      </c>
      <c r="I267" s="688"/>
      <c r="J267" s="688"/>
      <c r="K267" s="688">
        <f t="shared" si="31"/>
        <v>2044</v>
      </c>
      <c r="L267" s="688"/>
    </row>
    <row r="268" spans="2:12" ht="15.75" thickBot="1" x14ac:dyDescent="0.3">
      <c r="B268" s="763">
        <v>52768</v>
      </c>
      <c r="C268" s="751">
        <f t="shared" si="36"/>
        <v>31</v>
      </c>
      <c r="D268" s="747">
        <f t="shared" si="33"/>
        <v>0</v>
      </c>
      <c r="E268" s="747">
        <f t="shared" si="34"/>
        <v>0</v>
      </c>
      <c r="F268" s="752">
        <f t="shared" si="37"/>
        <v>0</v>
      </c>
      <c r="G268" s="753">
        <f t="shared" si="35"/>
        <v>0</v>
      </c>
      <c r="H268" s="750">
        <f t="shared" si="32"/>
        <v>0</v>
      </c>
      <c r="I268" s="688"/>
      <c r="J268" s="688"/>
      <c r="K268" s="688">
        <f t="shared" si="31"/>
        <v>2044</v>
      </c>
      <c r="L268" s="688"/>
    </row>
    <row r="269" spans="2:12" x14ac:dyDescent="0.25">
      <c r="B269" s="764">
        <v>52798</v>
      </c>
      <c r="C269" s="751">
        <f t="shared" si="36"/>
        <v>30</v>
      </c>
      <c r="D269" s="747">
        <f t="shared" si="33"/>
        <v>0</v>
      </c>
      <c r="E269" s="747">
        <f t="shared" si="34"/>
        <v>0</v>
      </c>
      <c r="F269" s="752">
        <f t="shared" si="37"/>
        <v>0</v>
      </c>
      <c r="G269" s="753">
        <f t="shared" si="35"/>
        <v>0</v>
      </c>
      <c r="H269" s="750">
        <f t="shared" si="32"/>
        <v>0</v>
      </c>
      <c r="I269" s="688"/>
      <c r="J269" s="688"/>
      <c r="K269" s="688">
        <f t="shared" si="31"/>
        <v>2044</v>
      </c>
      <c r="L269" s="688"/>
    </row>
    <row r="270" spans="2:12" ht="15.75" thickBot="1" x14ac:dyDescent="0.3">
      <c r="B270" s="763">
        <v>52829</v>
      </c>
      <c r="C270" s="751">
        <f t="shared" si="36"/>
        <v>31</v>
      </c>
      <c r="D270" s="747">
        <f t="shared" si="33"/>
        <v>0</v>
      </c>
      <c r="E270" s="747">
        <f t="shared" si="34"/>
        <v>0</v>
      </c>
      <c r="F270" s="752">
        <f t="shared" si="37"/>
        <v>0</v>
      </c>
      <c r="G270" s="753">
        <f t="shared" si="35"/>
        <v>0</v>
      </c>
      <c r="H270" s="750">
        <f t="shared" si="32"/>
        <v>0</v>
      </c>
      <c r="I270" s="688"/>
      <c r="J270" s="688"/>
      <c r="K270" s="688">
        <f t="shared" si="31"/>
        <v>2044</v>
      </c>
      <c r="L270" s="688">
        <f>L258+1</f>
        <v>2044</v>
      </c>
    </row>
    <row r="271" spans="2:12" x14ac:dyDescent="0.25">
      <c r="B271" s="764">
        <v>52860</v>
      </c>
      <c r="C271" s="751">
        <f t="shared" si="36"/>
        <v>31</v>
      </c>
      <c r="D271" s="747">
        <f t="shared" si="33"/>
        <v>0</v>
      </c>
      <c r="E271" s="747">
        <f t="shared" si="34"/>
        <v>0</v>
      </c>
      <c r="F271" s="752">
        <f t="shared" si="37"/>
        <v>0</v>
      </c>
      <c r="G271" s="753">
        <f t="shared" si="35"/>
        <v>0</v>
      </c>
      <c r="H271" s="750">
        <f t="shared" si="32"/>
        <v>0</v>
      </c>
      <c r="I271" s="688"/>
      <c r="J271" s="688"/>
      <c r="K271" s="688">
        <f t="shared" si="31"/>
        <v>2044</v>
      </c>
      <c r="L271" s="688"/>
    </row>
    <row r="272" spans="2:12" ht="15.75" thickBot="1" x14ac:dyDescent="0.3">
      <c r="B272" s="763">
        <v>52890</v>
      </c>
      <c r="C272" s="751">
        <f t="shared" si="36"/>
        <v>30</v>
      </c>
      <c r="D272" s="747">
        <f t="shared" si="33"/>
        <v>0</v>
      </c>
      <c r="E272" s="747">
        <f t="shared" si="34"/>
        <v>0</v>
      </c>
      <c r="F272" s="752">
        <f t="shared" si="37"/>
        <v>0</v>
      </c>
      <c r="G272" s="753">
        <f t="shared" si="35"/>
        <v>0</v>
      </c>
      <c r="H272" s="750">
        <f t="shared" si="32"/>
        <v>0</v>
      </c>
      <c r="I272" s="688"/>
      <c r="J272" s="688"/>
      <c r="K272" s="688">
        <f t="shared" si="31"/>
        <v>2044</v>
      </c>
      <c r="L272" s="688"/>
    </row>
    <row r="273" spans="2:12" x14ac:dyDescent="0.25">
      <c r="B273" s="764">
        <v>52921</v>
      </c>
      <c r="C273" s="751">
        <f t="shared" si="36"/>
        <v>31</v>
      </c>
      <c r="D273" s="747">
        <f t="shared" si="33"/>
        <v>0</v>
      </c>
      <c r="E273" s="747">
        <f t="shared" si="34"/>
        <v>0</v>
      </c>
      <c r="F273" s="752">
        <f t="shared" si="37"/>
        <v>0</v>
      </c>
      <c r="G273" s="753">
        <f t="shared" si="35"/>
        <v>0</v>
      </c>
      <c r="H273" s="750">
        <f t="shared" si="32"/>
        <v>0</v>
      </c>
      <c r="I273" s="688"/>
      <c r="J273" s="688"/>
      <c r="K273" s="688">
        <f t="shared" si="31"/>
        <v>2044</v>
      </c>
      <c r="L273" s="688"/>
    </row>
    <row r="274" spans="2:12" ht="15.75" thickBot="1" x14ac:dyDescent="0.3">
      <c r="B274" s="763">
        <v>52951</v>
      </c>
      <c r="C274" s="751">
        <f t="shared" si="36"/>
        <v>30</v>
      </c>
      <c r="D274" s="747">
        <f t="shared" si="33"/>
        <v>0</v>
      </c>
      <c r="E274" s="747">
        <f t="shared" si="34"/>
        <v>0</v>
      </c>
      <c r="F274" s="752">
        <f t="shared" si="37"/>
        <v>0</v>
      </c>
      <c r="G274" s="753">
        <f t="shared" si="35"/>
        <v>0</v>
      </c>
      <c r="H274" s="750">
        <f t="shared" si="32"/>
        <v>0</v>
      </c>
      <c r="I274" s="688"/>
      <c r="J274" s="688"/>
      <c r="K274" s="688">
        <f t="shared" si="31"/>
        <v>2044</v>
      </c>
      <c r="L274" s="688"/>
    </row>
    <row r="275" spans="2:12" x14ac:dyDescent="0.25">
      <c r="B275" s="764">
        <v>52982</v>
      </c>
      <c r="C275" s="751">
        <f t="shared" si="36"/>
        <v>31</v>
      </c>
      <c r="D275" s="747">
        <f t="shared" si="33"/>
        <v>0</v>
      </c>
      <c r="E275" s="747">
        <f t="shared" si="34"/>
        <v>0</v>
      </c>
      <c r="F275" s="752">
        <f t="shared" si="37"/>
        <v>0</v>
      </c>
      <c r="G275" s="753">
        <f t="shared" si="35"/>
        <v>0</v>
      </c>
      <c r="H275" s="750">
        <f t="shared" si="32"/>
        <v>0</v>
      </c>
      <c r="I275" s="688"/>
      <c r="J275" s="688"/>
      <c r="K275" s="688">
        <f t="shared" si="31"/>
        <v>2045</v>
      </c>
      <c r="L275" s="688"/>
    </row>
    <row r="276" spans="2:12" ht="15.75" thickBot="1" x14ac:dyDescent="0.3">
      <c r="B276" s="763">
        <v>53013</v>
      </c>
      <c r="C276" s="751">
        <f t="shared" si="36"/>
        <v>31</v>
      </c>
      <c r="D276" s="747">
        <f t="shared" si="33"/>
        <v>0</v>
      </c>
      <c r="E276" s="747">
        <f t="shared" si="34"/>
        <v>0</v>
      </c>
      <c r="F276" s="752">
        <f t="shared" si="37"/>
        <v>0</v>
      </c>
      <c r="G276" s="753">
        <f t="shared" si="35"/>
        <v>0</v>
      </c>
      <c r="H276" s="750">
        <f t="shared" si="32"/>
        <v>0</v>
      </c>
      <c r="I276" s="688"/>
      <c r="J276" s="688"/>
      <c r="K276" s="688">
        <f t="shared" si="31"/>
        <v>2045</v>
      </c>
      <c r="L276" s="688"/>
    </row>
    <row r="277" spans="2:12" x14ac:dyDescent="0.25">
      <c r="B277" s="764">
        <v>53041</v>
      </c>
      <c r="C277" s="751">
        <f t="shared" si="36"/>
        <v>28</v>
      </c>
      <c r="D277" s="747">
        <f t="shared" si="33"/>
        <v>0</v>
      </c>
      <c r="E277" s="747">
        <f t="shared" si="34"/>
        <v>0</v>
      </c>
      <c r="F277" s="752">
        <f t="shared" si="37"/>
        <v>0</v>
      </c>
      <c r="G277" s="753">
        <f t="shared" si="35"/>
        <v>0</v>
      </c>
      <c r="H277" s="750">
        <f t="shared" si="32"/>
        <v>0</v>
      </c>
      <c r="I277" s="688"/>
      <c r="J277" s="688"/>
      <c r="K277" s="688">
        <f t="shared" si="31"/>
        <v>2045</v>
      </c>
      <c r="L277" s="688"/>
    </row>
    <row r="278" spans="2:12" ht="15.75" thickBot="1" x14ac:dyDescent="0.3">
      <c r="B278" s="763">
        <v>53072</v>
      </c>
      <c r="C278" s="751">
        <f t="shared" si="36"/>
        <v>31</v>
      </c>
      <c r="D278" s="747">
        <f t="shared" si="33"/>
        <v>0</v>
      </c>
      <c r="E278" s="747">
        <f t="shared" si="34"/>
        <v>0</v>
      </c>
      <c r="F278" s="752">
        <f t="shared" si="37"/>
        <v>0</v>
      </c>
      <c r="G278" s="753">
        <f t="shared" si="35"/>
        <v>0</v>
      </c>
      <c r="H278" s="750">
        <f t="shared" si="32"/>
        <v>0</v>
      </c>
      <c r="I278" s="688"/>
      <c r="J278" s="688"/>
      <c r="K278" s="688">
        <f t="shared" si="31"/>
        <v>2045</v>
      </c>
      <c r="L278" s="688"/>
    </row>
    <row r="279" spans="2:12" x14ac:dyDescent="0.25">
      <c r="B279" s="764">
        <v>53102</v>
      </c>
      <c r="C279" s="751">
        <f t="shared" si="36"/>
        <v>30</v>
      </c>
      <c r="D279" s="747">
        <f t="shared" si="33"/>
        <v>0</v>
      </c>
      <c r="E279" s="747">
        <f t="shared" si="34"/>
        <v>0</v>
      </c>
      <c r="F279" s="752">
        <f t="shared" si="37"/>
        <v>0</v>
      </c>
      <c r="G279" s="753">
        <f t="shared" si="35"/>
        <v>0</v>
      </c>
      <c r="H279" s="750">
        <f t="shared" si="32"/>
        <v>0</v>
      </c>
      <c r="I279" s="688"/>
      <c r="J279" s="688"/>
      <c r="K279" s="688">
        <f t="shared" si="31"/>
        <v>2045</v>
      </c>
      <c r="L279" s="688"/>
    </row>
    <row r="280" spans="2:12" ht="15.75" thickBot="1" x14ac:dyDescent="0.3">
      <c r="B280" s="763">
        <v>53133</v>
      </c>
      <c r="C280" s="751">
        <f t="shared" si="36"/>
        <v>31</v>
      </c>
      <c r="D280" s="747">
        <f t="shared" si="33"/>
        <v>0</v>
      </c>
      <c r="E280" s="747">
        <f t="shared" si="34"/>
        <v>0</v>
      </c>
      <c r="F280" s="752">
        <f t="shared" si="37"/>
        <v>0</v>
      </c>
      <c r="G280" s="753">
        <f t="shared" si="35"/>
        <v>0</v>
      </c>
      <c r="H280" s="750">
        <f t="shared" si="32"/>
        <v>0</v>
      </c>
      <c r="I280" s="688"/>
      <c r="J280" s="688"/>
      <c r="K280" s="688">
        <f t="shared" si="31"/>
        <v>2045</v>
      </c>
      <c r="L280" s="688"/>
    </row>
    <row r="281" spans="2:12" x14ac:dyDescent="0.25">
      <c r="B281" s="764">
        <v>53163</v>
      </c>
      <c r="C281" s="751">
        <f t="shared" si="36"/>
        <v>30</v>
      </c>
      <c r="D281" s="747">
        <f t="shared" si="33"/>
        <v>0</v>
      </c>
      <c r="E281" s="747">
        <f t="shared" si="34"/>
        <v>0</v>
      </c>
      <c r="F281" s="752">
        <f t="shared" si="37"/>
        <v>0</v>
      </c>
      <c r="G281" s="753">
        <f t="shared" si="35"/>
        <v>0</v>
      </c>
      <c r="H281" s="750">
        <f t="shared" si="32"/>
        <v>0</v>
      </c>
      <c r="I281" s="688"/>
      <c r="J281" s="688"/>
      <c r="K281" s="688">
        <f t="shared" si="31"/>
        <v>2045</v>
      </c>
      <c r="L281" s="688"/>
    </row>
    <row r="282" spans="2:12" x14ac:dyDescent="0.25">
      <c r="B282" s="605"/>
      <c r="C282" s="70"/>
      <c r="D282" s="71"/>
      <c r="E282" s="71"/>
      <c r="F282" s="77"/>
      <c r="G282" s="71"/>
      <c r="H282" s="78"/>
      <c r="I282" s="79"/>
      <c r="L282" s="54">
        <f>L270+1</f>
        <v>2045</v>
      </c>
    </row>
    <row r="283" spans="2:12" x14ac:dyDescent="0.25">
      <c r="B283" s="69"/>
      <c r="C283" s="70"/>
      <c r="D283" s="71">
        <f>SUM(D49:D282)</f>
        <v>0</v>
      </c>
      <c r="E283" s="71">
        <f t="shared" ref="E283:G283" si="38">SUM(E49:E282)</f>
        <v>0</v>
      </c>
      <c r="F283" s="71"/>
      <c r="G283" s="71">
        <f t="shared" si="38"/>
        <v>0</v>
      </c>
      <c r="H283" s="71"/>
      <c r="I283" s="79"/>
    </row>
    <row r="284" spans="2:12" x14ac:dyDescent="0.25">
      <c r="B284" s="69"/>
      <c r="C284" s="70"/>
      <c r="D284" s="71"/>
      <c r="E284" s="71"/>
      <c r="F284" s="77"/>
      <c r="G284" s="71"/>
      <c r="H284" s="78"/>
      <c r="I284" s="79"/>
    </row>
    <row r="285" spans="2:12" x14ac:dyDescent="0.25">
      <c r="B285" s="69"/>
      <c r="C285" s="70"/>
      <c r="D285" s="71"/>
      <c r="E285" s="71"/>
      <c r="F285" s="77"/>
      <c r="G285" s="71"/>
      <c r="H285" s="78"/>
      <c r="I285" s="79"/>
    </row>
    <row r="286" spans="2:12" x14ac:dyDescent="0.25">
      <c r="B286" s="69"/>
      <c r="C286" s="70"/>
      <c r="D286" s="71"/>
      <c r="E286" s="71"/>
      <c r="F286" s="77"/>
      <c r="G286" s="71"/>
      <c r="H286" s="78"/>
      <c r="I286" s="79"/>
    </row>
    <row r="287" spans="2:12" x14ac:dyDescent="0.25">
      <c r="B287" s="69"/>
      <c r="C287" s="70"/>
      <c r="D287" s="71"/>
      <c r="E287" s="71"/>
      <c r="F287" s="77"/>
      <c r="G287" s="71"/>
      <c r="H287" s="78"/>
      <c r="I287" s="79"/>
    </row>
    <row r="288" spans="2:12" x14ac:dyDescent="0.25">
      <c r="B288" s="69"/>
      <c r="C288" s="70"/>
      <c r="D288" s="71"/>
      <c r="E288" s="71"/>
      <c r="F288" s="77"/>
      <c r="G288" s="71"/>
      <c r="H288" s="78"/>
      <c r="I288" s="79"/>
    </row>
    <row r="289" spans="2:9" x14ac:dyDescent="0.25">
      <c r="B289" s="69"/>
      <c r="C289" s="70"/>
      <c r="D289" s="71"/>
      <c r="E289" s="71"/>
      <c r="F289" s="77"/>
      <c r="G289" s="71"/>
      <c r="H289" s="78"/>
      <c r="I289" s="79"/>
    </row>
    <row r="290" spans="2:9" x14ac:dyDescent="0.25">
      <c r="B290" s="69"/>
      <c r="C290" s="70"/>
      <c r="D290" s="71"/>
      <c r="E290" s="71"/>
      <c r="F290" s="77"/>
      <c r="G290" s="71"/>
      <c r="H290" s="78"/>
      <c r="I290" s="79"/>
    </row>
    <row r="291" spans="2:9" x14ac:dyDescent="0.25">
      <c r="B291" s="69"/>
      <c r="C291" s="70"/>
      <c r="D291" s="71"/>
      <c r="E291" s="71"/>
      <c r="F291" s="77"/>
      <c r="G291" s="71"/>
      <c r="H291" s="78"/>
      <c r="I291" s="79"/>
    </row>
    <row r="292" spans="2:9" x14ac:dyDescent="0.25">
      <c r="B292" s="69"/>
      <c r="C292" s="70"/>
      <c r="D292" s="71"/>
      <c r="E292" s="71"/>
      <c r="F292" s="82"/>
      <c r="G292" s="71"/>
      <c r="H292" s="78"/>
      <c r="I292" s="79"/>
    </row>
    <row r="293" spans="2:9" x14ac:dyDescent="0.25">
      <c r="B293" s="69"/>
      <c r="C293" s="70"/>
      <c r="D293" s="71"/>
      <c r="E293" s="71"/>
      <c r="F293" s="77"/>
      <c r="G293" s="71"/>
      <c r="H293" s="78"/>
      <c r="I293" s="79"/>
    </row>
    <row r="294" spans="2:9" x14ac:dyDescent="0.25">
      <c r="B294" s="69"/>
      <c r="C294" s="70"/>
      <c r="D294" s="71"/>
      <c r="E294" s="71"/>
      <c r="F294" s="77"/>
      <c r="G294" s="71"/>
      <c r="H294" s="78"/>
      <c r="I294" s="79"/>
    </row>
    <row r="295" spans="2:9" x14ac:dyDescent="0.25">
      <c r="B295" s="69"/>
      <c r="C295" s="70"/>
      <c r="D295" s="71"/>
      <c r="E295" s="71"/>
      <c r="F295" s="77"/>
      <c r="G295" s="71"/>
      <c r="H295" s="78"/>
      <c r="I295" s="79"/>
    </row>
    <row r="296" spans="2:9" x14ac:dyDescent="0.25">
      <c r="B296" s="69"/>
      <c r="C296" s="70"/>
      <c r="D296" s="71"/>
      <c r="E296" s="71"/>
      <c r="F296" s="77"/>
      <c r="G296" s="71"/>
      <c r="H296" s="78"/>
      <c r="I296" s="79"/>
    </row>
    <row r="297" spans="2:9" x14ac:dyDescent="0.25">
      <c r="B297" s="69"/>
      <c r="C297" s="70"/>
      <c r="D297" s="71"/>
      <c r="E297" s="71"/>
      <c r="F297" s="77"/>
      <c r="G297" s="71"/>
      <c r="H297" s="78"/>
      <c r="I297" s="79"/>
    </row>
    <row r="298" spans="2:9" x14ac:dyDescent="0.25">
      <c r="B298" s="69"/>
      <c r="C298" s="70"/>
      <c r="D298" s="71"/>
      <c r="E298" s="71"/>
      <c r="F298" s="77"/>
      <c r="G298" s="71"/>
      <c r="H298" s="78"/>
      <c r="I298" s="79"/>
    </row>
    <row r="299" spans="2:9" x14ac:dyDescent="0.25">
      <c r="B299" s="69"/>
      <c r="C299" s="70"/>
      <c r="D299" s="71"/>
      <c r="E299" s="71"/>
      <c r="F299" s="77"/>
      <c r="G299" s="71"/>
      <c r="H299" s="78"/>
      <c r="I299" s="79"/>
    </row>
    <row r="300" spans="2:9" x14ac:dyDescent="0.25">
      <c r="B300" s="69"/>
      <c r="C300" s="70"/>
      <c r="D300" s="71"/>
      <c r="E300" s="71"/>
      <c r="F300" s="77"/>
      <c r="G300" s="71"/>
      <c r="H300" s="78"/>
      <c r="I300" s="79"/>
    </row>
    <row r="301" spans="2:9" x14ac:dyDescent="0.25">
      <c r="B301" s="69"/>
      <c r="C301" s="70"/>
      <c r="D301" s="71"/>
      <c r="E301" s="71"/>
      <c r="F301" s="77"/>
      <c r="G301" s="71"/>
      <c r="H301" s="78"/>
      <c r="I301" s="79"/>
    </row>
    <row r="302" spans="2:9" x14ac:dyDescent="0.25">
      <c r="B302" s="69"/>
      <c r="C302" s="70"/>
      <c r="D302" s="71"/>
      <c r="E302" s="71"/>
      <c r="F302" s="77"/>
      <c r="G302" s="71"/>
      <c r="H302" s="78"/>
      <c r="I302" s="79"/>
    </row>
    <row r="303" spans="2:9" x14ac:dyDescent="0.25">
      <c r="B303" s="69"/>
      <c r="C303" s="70"/>
      <c r="D303" s="71"/>
      <c r="E303" s="71"/>
      <c r="F303" s="77"/>
      <c r="G303" s="71"/>
      <c r="H303" s="78"/>
      <c r="I303" s="79"/>
    </row>
    <row r="304" spans="2:9" x14ac:dyDescent="0.25">
      <c r="B304" s="69"/>
      <c r="C304" s="70"/>
      <c r="D304" s="71"/>
      <c r="E304" s="71"/>
      <c r="F304" s="77"/>
      <c r="G304" s="71"/>
      <c r="H304" s="78"/>
      <c r="I304" s="79"/>
    </row>
    <row r="305" spans="2:9" x14ac:dyDescent="0.25">
      <c r="B305" s="69"/>
      <c r="C305" s="70"/>
      <c r="D305" s="71"/>
      <c r="E305" s="71"/>
      <c r="F305" s="77"/>
      <c r="G305" s="71"/>
      <c r="H305" s="78"/>
      <c r="I305" s="79"/>
    </row>
    <row r="306" spans="2:9" x14ac:dyDescent="0.25">
      <c r="B306" s="69"/>
      <c r="C306" s="70"/>
      <c r="D306" s="71"/>
      <c r="E306" s="71"/>
      <c r="F306" s="77"/>
      <c r="G306" s="71"/>
      <c r="H306" s="78"/>
      <c r="I306" s="79"/>
    </row>
    <row r="307" spans="2:9" x14ac:dyDescent="0.25">
      <c r="B307" s="69"/>
      <c r="C307" s="70"/>
      <c r="D307" s="71"/>
      <c r="E307" s="71"/>
      <c r="F307" s="77"/>
      <c r="G307" s="71"/>
      <c r="H307" s="78"/>
      <c r="I307" s="79"/>
    </row>
    <row r="308" spans="2:9" x14ac:dyDescent="0.25">
      <c r="B308" s="69"/>
      <c r="C308" s="70"/>
      <c r="D308" s="71"/>
      <c r="E308" s="71"/>
      <c r="F308" s="77"/>
      <c r="G308" s="71"/>
      <c r="H308" s="78"/>
      <c r="I308" s="79"/>
    </row>
    <row r="309" spans="2:9" x14ac:dyDescent="0.25">
      <c r="B309" s="69"/>
      <c r="C309" s="70"/>
      <c r="D309" s="71"/>
      <c r="E309" s="71"/>
      <c r="F309" s="77"/>
      <c r="G309" s="71"/>
      <c r="H309" s="78"/>
      <c r="I309" s="79"/>
    </row>
    <row r="310" spans="2:9" x14ac:dyDescent="0.25">
      <c r="B310" s="69"/>
      <c r="C310" s="70"/>
      <c r="D310" s="71"/>
      <c r="E310" s="71"/>
      <c r="F310" s="77"/>
      <c r="G310" s="71"/>
      <c r="H310" s="78"/>
      <c r="I310" s="79"/>
    </row>
    <row r="311" spans="2:9" x14ac:dyDescent="0.25">
      <c r="B311" s="69"/>
      <c r="C311" s="70"/>
      <c r="D311" s="71"/>
      <c r="E311" s="71"/>
      <c r="F311" s="77"/>
      <c r="G311" s="71"/>
      <c r="H311" s="78"/>
      <c r="I311" s="79"/>
    </row>
    <row r="312" spans="2:9" x14ac:dyDescent="0.25">
      <c r="F312" s="77"/>
      <c r="G312" s="71"/>
      <c r="H312" s="78"/>
      <c r="I312" s="79"/>
    </row>
    <row r="313" spans="2:9" x14ac:dyDescent="0.25">
      <c r="B313" s="69"/>
      <c r="C313" s="70"/>
      <c r="D313" s="71"/>
      <c r="E313" s="71"/>
      <c r="F313" s="77"/>
      <c r="G313" s="71"/>
      <c r="H313" s="78"/>
      <c r="I313" s="79"/>
    </row>
    <row r="314" spans="2:9" x14ac:dyDescent="0.25">
      <c r="B314" s="69"/>
      <c r="C314" s="70"/>
      <c r="D314" s="71"/>
      <c r="E314" s="71"/>
      <c r="F314" s="77"/>
      <c r="G314" s="71"/>
      <c r="H314" s="78"/>
      <c r="I314" s="79"/>
    </row>
    <row r="315" spans="2:9" x14ac:dyDescent="0.25">
      <c r="B315" s="69"/>
      <c r="C315" s="70"/>
      <c r="D315" s="71"/>
      <c r="E315" s="71"/>
      <c r="F315" s="77"/>
      <c r="G315" s="71"/>
      <c r="H315" s="78"/>
      <c r="I315" s="79"/>
    </row>
    <row r="316" spans="2:9" x14ac:dyDescent="0.25">
      <c r="B316" s="69"/>
      <c r="C316" s="70"/>
      <c r="D316" s="71"/>
      <c r="E316" s="71"/>
      <c r="F316" s="77"/>
      <c r="G316" s="71"/>
      <c r="H316" s="78"/>
      <c r="I316" s="79"/>
    </row>
    <row r="317" spans="2:9" x14ac:dyDescent="0.25">
      <c r="B317" s="69"/>
      <c r="C317" s="69"/>
      <c r="D317" s="80"/>
      <c r="E317" s="80"/>
      <c r="F317" s="77"/>
      <c r="G317" s="80"/>
      <c r="H317" s="139"/>
      <c r="I317" s="79"/>
    </row>
    <row r="318" spans="2:9" x14ac:dyDescent="0.25">
      <c r="B318" s="69"/>
      <c r="C318" s="69"/>
      <c r="D318" s="81"/>
      <c r="E318" s="81"/>
      <c r="F318" s="81"/>
      <c r="G318" s="79"/>
      <c r="H318" s="79"/>
      <c r="I318" s="79"/>
    </row>
    <row r="319" spans="2:9" x14ac:dyDescent="0.25">
      <c r="B319" s="69"/>
      <c r="C319" s="69"/>
      <c r="D319" s="81"/>
      <c r="E319" s="81"/>
      <c r="F319" s="81"/>
      <c r="G319" s="79"/>
      <c r="H319" s="79"/>
      <c r="I319" s="79"/>
    </row>
    <row r="320" spans="2:9" x14ac:dyDescent="0.25">
      <c r="B320" s="69"/>
      <c r="C320" s="69"/>
      <c r="D320" s="81"/>
      <c r="E320" s="81"/>
      <c r="F320" s="81"/>
      <c r="G320" s="79"/>
      <c r="H320" s="79"/>
      <c r="I320" s="79"/>
    </row>
    <row r="321" spans="2:9" x14ac:dyDescent="0.25">
      <c r="B321" s="69"/>
      <c r="C321" s="69"/>
      <c r="D321" s="81"/>
      <c r="E321" s="81"/>
      <c r="F321" s="81"/>
      <c r="G321" s="79"/>
      <c r="H321" s="79"/>
      <c r="I321" s="79"/>
    </row>
  </sheetData>
  <sheetProtection sheet="1" objects="1" scenarios="1"/>
  <mergeCells count="1"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0"/>
  <sheetViews>
    <sheetView showGridLines="0" topLeftCell="A2" zoomScale="106" zoomScaleNormal="106" zoomScaleSheetLayoutView="95" workbookViewId="0">
      <selection activeCell="T6" sqref="T6"/>
    </sheetView>
  </sheetViews>
  <sheetFormatPr defaultColWidth="9.140625" defaultRowHeight="15" outlineLevelCol="2" x14ac:dyDescent="0.25"/>
  <cols>
    <col min="1" max="1" width="2.85546875" style="54" customWidth="1"/>
    <col min="2" max="2" width="45.42578125" style="54" customWidth="1"/>
    <col min="3" max="4" width="10.42578125" style="54" customWidth="1"/>
    <col min="5" max="5" width="14" style="54" customWidth="1"/>
    <col min="6" max="8" width="12.5703125" style="54" customWidth="1" outlineLevel="1"/>
    <col min="9" max="14" width="12.5703125" style="54" hidden="1" customWidth="1" outlineLevel="2"/>
    <col min="15" max="15" width="2.5703125" style="54" hidden="1" customWidth="1"/>
    <col min="16" max="16" width="9.28515625" style="54" hidden="1" customWidth="1"/>
    <col min="17" max="17" width="10.42578125" style="54" customWidth="1"/>
    <col min="18" max="18" width="8" style="54" customWidth="1"/>
    <col min="19" max="19" width="13.42578125" style="54" customWidth="1" outlineLevel="1"/>
    <col min="20" max="20" width="9.140625" style="54" customWidth="1" outlineLevel="1"/>
    <col min="21" max="22" width="9.140625" style="54" customWidth="1"/>
    <col min="23" max="16384" width="9.140625" style="54"/>
  </cols>
  <sheetData>
    <row r="1" spans="1:21" ht="84" hidden="1" customHeight="1" x14ac:dyDescent="0.25">
      <c r="B1" s="532"/>
    </row>
    <row r="2" spans="1:21" ht="15" customHeight="1" thickBot="1" x14ac:dyDescent="0.35">
      <c r="A2" s="152"/>
      <c r="B2" s="581" t="s">
        <v>430</v>
      </c>
      <c r="C2" s="417"/>
      <c r="D2" s="153"/>
      <c r="E2" s="690">
        <v>0.09</v>
      </c>
      <c r="F2" s="682"/>
      <c r="G2" s="153"/>
      <c r="H2" s="153"/>
      <c r="I2" s="153"/>
      <c r="J2" s="153"/>
      <c r="K2" s="154"/>
      <c r="L2" s="154"/>
      <c r="M2" s="154"/>
      <c r="O2" s="344"/>
      <c r="P2" s="344"/>
      <c r="Q2" s="365"/>
    </row>
    <row r="3" spans="1:21" ht="15" customHeight="1" thickBot="1" x14ac:dyDescent="0.3">
      <c r="A3" s="155"/>
      <c r="B3" s="172"/>
      <c r="C3" s="418"/>
      <c r="D3" s="1"/>
      <c r="E3" s="1"/>
      <c r="F3" s="1"/>
      <c r="G3" s="1"/>
      <c r="H3" s="1"/>
      <c r="I3" s="1"/>
      <c r="J3" s="1"/>
      <c r="K3" s="1"/>
      <c r="L3" s="2"/>
      <c r="M3" s="1"/>
      <c r="N3" s="156"/>
      <c r="Q3" s="156"/>
      <c r="S3" s="364" t="s">
        <v>359</v>
      </c>
    </row>
    <row r="4" spans="1:21" ht="15" hidden="1" customHeight="1" x14ac:dyDescent="0.25">
      <c r="A4" s="157"/>
      <c r="B4" s="366"/>
      <c r="C4" s="419"/>
      <c r="D4" s="1"/>
      <c r="E4" s="1"/>
      <c r="F4" s="1"/>
      <c r="G4" s="1"/>
      <c r="H4" s="1"/>
      <c r="I4" s="1"/>
      <c r="J4" s="1"/>
      <c r="K4" s="1"/>
      <c r="L4" s="1"/>
      <c r="M4" s="1"/>
      <c r="N4" s="156"/>
      <c r="Q4" s="156"/>
    </row>
    <row r="5" spans="1:21" ht="15" hidden="1" customHeight="1" thickBot="1" x14ac:dyDescent="0.3">
      <c r="A5" s="157"/>
      <c r="B5" s="367"/>
      <c r="C5" s="420"/>
      <c r="D5" s="3"/>
      <c r="E5" s="3"/>
      <c r="F5" s="3"/>
      <c r="G5" s="3"/>
      <c r="H5" s="1"/>
      <c r="I5" s="1"/>
      <c r="J5" s="1"/>
      <c r="K5" s="1"/>
      <c r="L5" s="1"/>
      <c r="M5" s="1"/>
      <c r="N5" s="156"/>
      <c r="Q5" s="368"/>
    </row>
    <row r="6" spans="1:21" ht="24.75" customHeight="1" thickBot="1" x14ac:dyDescent="0.3">
      <c r="A6" s="402"/>
      <c r="B6" s="403"/>
      <c r="C6" s="404">
        <f>D6-1</f>
        <v>2023</v>
      </c>
      <c r="D6" s="404">
        <f>T6</f>
        <v>2024</v>
      </c>
      <c r="E6" s="404" t="s">
        <v>371</v>
      </c>
      <c r="F6" s="404">
        <f>T6+1</f>
        <v>2025</v>
      </c>
      <c r="G6" s="404">
        <f>F6+1</f>
        <v>2026</v>
      </c>
      <c r="H6" s="404">
        <f>G6+1</f>
        <v>2027</v>
      </c>
      <c r="I6" s="404" t="s">
        <v>59</v>
      </c>
      <c r="J6" s="404" t="s">
        <v>60</v>
      </c>
      <c r="K6" s="404" t="s">
        <v>301</v>
      </c>
      <c r="L6" s="404" t="s">
        <v>302</v>
      </c>
      <c r="M6" s="404" t="s">
        <v>303</v>
      </c>
      <c r="N6" s="404" t="s">
        <v>304</v>
      </c>
      <c r="O6" s="405"/>
      <c r="P6" s="405"/>
      <c r="Q6" s="404" t="s">
        <v>360</v>
      </c>
      <c r="S6" s="680">
        <v>9</v>
      </c>
      <c r="T6" s="767">
        <f>'załącznik nr 1 dla KPiR'!B14</f>
        <v>2024</v>
      </c>
    </row>
    <row r="7" spans="1:21" ht="20.100000000000001" customHeight="1" x14ac:dyDescent="0.25">
      <c r="A7" s="158" t="s">
        <v>18</v>
      </c>
      <c r="B7" s="361" t="s">
        <v>390</v>
      </c>
      <c r="C7" s="47">
        <f t="shared" ref="C7:N7" si="0">SUM(C9:C12)</f>
        <v>0</v>
      </c>
      <c r="D7" s="47">
        <f t="shared" si="0"/>
        <v>0</v>
      </c>
      <c r="E7" s="421" t="e">
        <f>(D7-C7)/C7</f>
        <v>#DIV/0!</v>
      </c>
      <c r="F7" s="47">
        <f>SUM(F8:F12)</f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8">
        <f t="shared" si="0"/>
        <v>0</v>
      </c>
      <c r="K7" s="47">
        <f t="shared" si="0"/>
        <v>0</v>
      </c>
      <c r="L7" s="47">
        <f t="shared" si="0"/>
        <v>0</v>
      </c>
      <c r="M7" s="47">
        <f t="shared" si="0"/>
        <v>0</v>
      </c>
      <c r="N7" s="47">
        <f t="shared" si="0"/>
        <v>0</v>
      </c>
      <c r="Q7" s="47">
        <f t="shared" ref="Q7" si="1">SUM(Q9:Q12)</f>
        <v>0</v>
      </c>
      <c r="S7" s="679">
        <f>(12/$S$6)*Q7</f>
        <v>0</v>
      </c>
      <c r="T7" s="681" t="e">
        <f t="shared" ref="T7:T59" si="2">(S7-D7)/D7</f>
        <v>#DIV/0!</v>
      </c>
    </row>
    <row r="8" spans="1:21" ht="15" hidden="1" customHeight="1" x14ac:dyDescent="0.25">
      <c r="A8" s="159"/>
      <c r="B8" s="159" t="str">
        <f>[1]Arkusz1!H8</f>
        <v xml:space="preserve"> - od jednostek powiązanych</v>
      </c>
      <c r="C8" s="5"/>
      <c r="D8" s="5"/>
      <c r="E8" s="422" t="e">
        <f t="shared" ref="E8:E59" si="3">(D8-C8)/C8</f>
        <v>#DIV/0!</v>
      </c>
      <c r="F8" s="5"/>
      <c r="G8" s="5"/>
      <c r="H8" s="5"/>
      <c r="I8" s="5"/>
      <c r="J8" s="6"/>
      <c r="K8" s="5"/>
      <c r="L8" s="5"/>
      <c r="M8" s="5"/>
      <c r="N8" s="5"/>
      <c r="Q8" s="5"/>
      <c r="S8" s="5">
        <f t="shared" ref="S8:S59" si="4">(12/$S$6)*Q8</f>
        <v>0</v>
      </c>
      <c r="T8" s="422" t="e">
        <f t="shared" si="2"/>
        <v>#DIV/0!</v>
      </c>
    </row>
    <row r="9" spans="1:21" ht="24.75" customHeight="1" x14ac:dyDescent="0.25">
      <c r="A9" s="399"/>
      <c r="B9" s="400" t="s">
        <v>465</v>
      </c>
      <c r="C9" s="53"/>
      <c r="D9" s="53">
        <f>'załącznik nr 1 dla KPiR'!B15</f>
        <v>0</v>
      </c>
      <c r="E9" s="423" t="e">
        <f t="shared" si="3"/>
        <v>#DIV/0!</v>
      </c>
      <c r="F9" s="448">
        <f>'plan sprzedaży i zakupów '!C3</f>
        <v>0</v>
      </c>
      <c r="G9" s="448">
        <f>'plan sprzedaży i zakupów '!D3</f>
        <v>0</v>
      </c>
      <c r="H9" s="448">
        <f>'plan sprzedaży i zakupów '!E3</f>
        <v>0</v>
      </c>
      <c r="I9" s="448">
        <f>'plan sprzedaży i zakupów '!F3</f>
        <v>0</v>
      </c>
      <c r="J9" s="448">
        <f>'plan sprzedaży i zakupów '!G3</f>
        <v>0</v>
      </c>
      <c r="K9" s="448">
        <f>'plan sprzedaży i zakupów '!H3</f>
        <v>0</v>
      </c>
      <c r="L9" s="448">
        <f>'plan sprzedaży i zakupów '!I3</f>
        <v>0</v>
      </c>
      <c r="M9" s="448">
        <f>'plan sprzedaży i zakupów '!J3</f>
        <v>0</v>
      </c>
      <c r="N9" s="448">
        <f>'plan sprzedaży i zakupów '!K3</f>
        <v>0</v>
      </c>
      <c r="O9" s="259"/>
      <c r="P9" s="259"/>
      <c r="Q9" s="53"/>
      <c r="R9" s="316" t="s">
        <v>340</v>
      </c>
      <c r="S9" s="448">
        <f t="shared" si="4"/>
        <v>0</v>
      </c>
      <c r="T9" s="423" t="e">
        <f t="shared" si="2"/>
        <v>#DIV/0!</v>
      </c>
    </row>
    <row r="10" spans="1:21" ht="24" hidden="1" customHeight="1" x14ac:dyDescent="0.25">
      <c r="A10" s="399"/>
      <c r="B10" s="400" t="str">
        <f>[1]Arkusz1!H10</f>
        <v>Zmiana stanu produktów (zwiększenie wartość dodatnia, zmniejszenie wartość ujemna)</v>
      </c>
      <c r="C10" s="53"/>
      <c r="D10" s="53"/>
      <c r="E10" s="423" t="e">
        <f t="shared" si="3"/>
        <v>#DIV/0!</v>
      </c>
      <c r="F10" s="448"/>
      <c r="G10" s="448"/>
      <c r="H10" s="448"/>
      <c r="I10" s="448"/>
      <c r="J10" s="449"/>
      <c r="K10" s="448"/>
      <c r="L10" s="448"/>
      <c r="M10" s="448"/>
      <c r="N10" s="448"/>
      <c r="O10" s="259"/>
      <c r="P10" s="259"/>
      <c r="Q10" s="53"/>
      <c r="R10" s="316" t="s">
        <v>340</v>
      </c>
      <c r="S10" s="448">
        <f t="shared" si="4"/>
        <v>0</v>
      </c>
      <c r="T10" s="423" t="e">
        <f t="shared" si="2"/>
        <v>#DIV/0!</v>
      </c>
    </row>
    <row r="11" spans="1:21" ht="15" hidden="1" customHeight="1" x14ac:dyDescent="0.25">
      <c r="A11" s="399"/>
      <c r="B11" s="400" t="str">
        <f>[1]Arkusz1!H11</f>
        <v xml:space="preserve">Koszt wytworzenia produktów na własne potrzeby jednostki </v>
      </c>
      <c r="C11" s="53"/>
      <c r="D11" s="53"/>
      <c r="E11" s="423" t="e">
        <f t="shared" si="3"/>
        <v>#DIV/0!</v>
      </c>
      <c r="F11" s="448"/>
      <c r="G11" s="448"/>
      <c r="H11" s="448"/>
      <c r="I11" s="448"/>
      <c r="J11" s="449"/>
      <c r="K11" s="448"/>
      <c r="L11" s="448"/>
      <c r="M11" s="448"/>
      <c r="N11" s="448"/>
      <c r="O11" s="259"/>
      <c r="P11" s="259"/>
      <c r="Q11" s="53"/>
      <c r="R11" s="316" t="s">
        <v>340</v>
      </c>
      <c r="S11" s="448">
        <f t="shared" si="4"/>
        <v>0</v>
      </c>
      <c r="T11" s="423" t="e">
        <f t="shared" si="2"/>
        <v>#DIV/0!</v>
      </c>
    </row>
    <row r="12" spans="1:21" ht="20.100000000000001" customHeight="1" x14ac:dyDescent="0.25">
      <c r="A12" s="399"/>
      <c r="B12" s="400"/>
      <c r="C12" s="53"/>
      <c r="D12" s="53"/>
      <c r="E12" s="423" t="e">
        <f t="shared" si="3"/>
        <v>#DIV/0!</v>
      </c>
      <c r="F12" s="448">
        <f>'plan sprzedaży i zakupów '!C8</f>
        <v>0</v>
      </c>
      <c r="G12" s="448">
        <f>'plan sprzedaży i zakupów '!D8</f>
        <v>0</v>
      </c>
      <c r="H12" s="448">
        <f>'plan sprzedaży i zakupów '!E8</f>
        <v>0</v>
      </c>
      <c r="I12" s="448">
        <f>'plan sprzedaży i zakupów '!F8</f>
        <v>0</v>
      </c>
      <c r="J12" s="448">
        <f>'plan sprzedaży i zakupów '!G8</f>
        <v>0</v>
      </c>
      <c r="K12" s="448">
        <f>'plan sprzedaży i zakupów '!H8</f>
        <v>0</v>
      </c>
      <c r="L12" s="448">
        <f>'plan sprzedaży i zakupów '!I8</f>
        <v>0</v>
      </c>
      <c r="M12" s="448">
        <f>'plan sprzedaży i zakupów '!J8</f>
        <v>0</v>
      </c>
      <c r="N12" s="448">
        <f>'plan sprzedaży i zakupów '!K8</f>
        <v>0</v>
      </c>
      <c r="O12" s="259"/>
      <c r="P12" s="259"/>
      <c r="Q12" s="53"/>
      <c r="R12" s="316" t="s">
        <v>340</v>
      </c>
      <c r="S12" s="448">
        <f t="shared" si="4"/>
        <v>0</v>
      </c>
      <c r="T12" s="423" t="e">
        <f t="shared" si="2"/>
        <v>#DIV/0!</v>
      </c>
    </row>
    <row r="13" spans="1:21" ht="20.100000000000001" customHeight="1" x14ac:dyDescent="0.25">
      <c r="A13" s="158" t="s">
        <v>23</v>
      </c>
      <c r="B13" s="361" t="s">
        <v>388</v>
      </c>
      <c r="C13" s="47">
        <f>C14+C15+C16</f>
        <v>0</v>
      </c>
      <c r="D13" s="47">
        <f>D14+D15+D16</f>
        <v>0</v>
      </c>
      <c r="E13" s="421" t="e">
        <f t="shared" si="3"/>
        <v>#DIV/0!</v>
      </c>
      <c r="F13" s="47">
        <f>F14+F15+F16</f>
        <v>0</v>
      </c>
      <c r="G13" s="47">
        <f t="shared" ref="G13:N13" si="5">G14+G15+G16</f>
        <v>0</v>
      </c>
      <c r="H13" s="47">
        <f t="shared" si="5"/>
        <v>0</v>
      </c>
      <c r="I13" s="47">
        <f t="shared" si="5"/>
        <v>0</v>
      </c>
      <c r="J13" s="47">
        <f t="shared" si="5"/>
        <v>0</v>
      </c>
      <c r="K13" s="47">
        <f t="shared" si="5"/>
        <v>0</v>
      </c>
      <c r="L13" s="47">
        <f t="shared" si="5"/>
        <v>0</v>
      </c>
      <c r="M13" s="47">
        <f>M14+M15+M16</f>
        <v>0</v>
      </c>
      <c r="N13" s="47">
        <f t="shared" si="5"/>
        <v>0</v>
      </c>
      <c r="Q13" s="47">
        <f>Q14+Q15+Q16</f>
        <v>0</v>
      </c>
      <c r="R13" s="316"/>
      <c r="S13" s="47">
        <f t="shared" si="4"/>
        <v>0</v>
      </c>
      <c r="T13" s="421" t="e">
        <f t="shared" si="2"/>
        <v>#DIV/0!</v>
      </c>
    </row>
    <row r="14" spans="1:21" ht="20.100000000000001" customHeight="1" x14ac:dyDescent="0.25">
      <c r="A14" s="401"/>
      <c r="B14" s="400" t="s">
        <v>347</v>
      </c>
      <c r="C14" s="53"/>
      <c r="D14" s="53">
        <f>'załącznik nr 1 dla KPiR'!B21</f>
        <v>0</v>
      </c>
      <c r="E14" s="423" t="e">
        <f t="shared" si="3"/>
        <v>#DIV/0!</v>
      </c>
      <c r="F14" s="448">
        <f>'plan sprzedaży i zakupów '!C15</f>
        <v>0</v>
      </c>
      <c r="G14" s="448">
        <f>'plan sprzedaży i zakupów '!D15</f>
        <v>0</v>
      </c>
      <c r="H14" s="448">
        <f>'plan sprzedaży i zakupów '!E15</f>
        <v>0</v>
      </c>
      <c r="I14" s="448">
        <f>'plan sprzedaży i zakupów '!F15</f>
        <v>0</v>
      </c>
      <c r="J14" s="448">
        <f>'plan sprzedaży i zakupów '!G15</f>
        <v>0</v>
      </c>
      <c r="K14" s="448">
        <f>'plan sprzedaży i zakupów '!H15</f>
        <v>0</v>
      </c>
      <c r="L14" s="448">
        <f>'plan sprzedaży i zakupów '!I15</f>
        <v>0</v>
      </c>
      <c r="M14" s="448">
        <f>'plan sprzedaży i zakupów '!J15</f>
        <v>0</v>
      </c>
      <c r="N14" s="448">
        <f>'plan sprzedaży i zakupów '!K15</f>
        <v>0</v>
      </c>
      <c r="O14" s="259"/>
      <c r="P14" s="259"/>
      <c r="Q14" s="53"/>
      <c r="R14" s="54" t="s">
        <v>340</v>
      </c>
      <c r="S14" s="448">
        <f t="shared" si="4"/>
        <v>0</v>
      </c>
      <c r="T14" s="423" t="e">
        <f t="shared" si="2"/>
        <v>#DIV/0!</v>
      </c>
    </row>
    <row r="15" spans="1:21" ht="20.100000000000001" customHeight="1" x14ac:dyDescent="0.25">
      <c r="A15" s="401"/>
      <c r="B15" s="400" t="s">
        <v>348</v>
      </c>
      <c r="C15" s="53"/>
      <c r="D15" s="53">
        <f>'załącznik nr 1 dla KPiR'!B27</f>
        <v>0</v>
      </c>
      <c r="E15" s="423" t="e">
        <f t="shared" si="3"/>
        <v>#DIV/0!</v>
      </c>
      <c r="F15" s="448">
        <f>'plan kosztów eksploatacyjnych'!C45</f>
        <v>0</v>
      </c>
      <c r="G15" s="448">
        <f>'plan kosztów eksploatacyjnych'!D45</f>
        <v>0</v>
      </c>
      <c r="H15" s="448">
        <f>'plan kosztów eksploatacyjnych'!E45</f>
        <v>0</v>
      </c>
      <c r="I15" s="448">
        <f>'plan kosztów eksploatacyjnych'!F45</f>
        <v>0</v>
      </c>
      <c r="J15" s="448">
        <f>'plan kosztów eksploatacyjnych'!G45</f>
        <v>0</v>
      </c>
      <c r="K15" s="448">
        <f>'plan kosztów eksploatacyjnych'!H45</f>
        <v>0</v>
      </c>
      <c r="L15" s="448">
        <f>'plan kosztów eksploatacyjnych'!I45</f>
        <v>0</v>
      </c>
      <c r="M15" s="448">
        <f>'plan kosztów eksploatacyjnych'!J45</f>
        <v>0</v>
      </c>
      <c r="N15" s="448">
        <f>'plan kosztów eksploatacyjnych'!K45</f>
        <v>0</v>
      </c>
      <c r="O15" s="259"/>
      <c r="P15" s="259"/>
      <c r="Q15" s="53"/>
      <c r="R15" s="54" t="s">
        <v>340</v>
      </c>
      <c r="S15" s="448">
        <f t="shared" si="4"/>
        <v>0</v>
      </c>
      <c r="T15" s="423" t="e">
        <f t="shared" si="2"/>
        <v>#DIV/0!</v>
      </c>
      <c r="U15" s="259"/>
    </row>
    <row r="16" spans="1:21" ht="20.100000000000001" customHeight="1" x14ac:dyDescent="0.25">
      <c r="A16" s="401"/>
      <c r="B16" s="400" t="s">
        <v>389</v>
      </c>
      <c r="C16" s="53"/>
      <c r="D16" s="53">
        <f>'załącznik nr 1 dla KPiR'!B41</f>
        <v>0</v>
      </c>
      <c r="E16" s="423" t="e">
        <f t="shared" si="3"/>
        <v>#DIV/0!</v>
      </c>
      <c r="F16" s="448">
        <f>F17+F18+F19+F20+F22+F23+F24+F44</f>
        <v>0</v>
      </c>
      <c r="G16" s="448">
        <f t="shared" ref="G16:N16" si="6">G17+G18+G19+G20+G22+G23+G24+G44</f>
        <v>0</v>
      </c>
      <c r="H16" s="448">
        <f t="shared" si="6"/>
        <v>0</v>
      </c>
      <c r="I16" s="448">
        <f t="shared" si="6"/>
        <v>0</v>
      </c>
      <c r="J16" s="448">
        <f t="shared" si="6"/>
        <v>0</v>
      </c>
      <c r="K16" s="448">
        <f t="shared" si="6"/>
        <v>0</v>
      </c>
      <c r="L16" s="448">
        <f t="shared" si="6"/>
        <v>0</v>
      </c>
      <c r="M16" s="448">
        <f t="shared" si="6"/>
        <v>0</v>
      </c>
      <c r="N16" s="448">
        <f t="shared" si="6"/>
        <v>0</v>
      </c>
      <c r="O16" s="259"/>
      <c r="P16" s="259"/>
      <c r="Q16" s="53"/>
      <c r="R16" s="54" t="s">
        <v>340</v>
      </c>
      <c r="S16" s="448">
        <f t="shared" si="4"/>
        <v>0</v>
      </c>
      <c r="T16" s="423" t="e">
        <f t="shared" si="2"/>
        <v>#DIV/0!</v>
      </c>
    </row>
    <row r="17" spans="1:20" ht="19.5" customHeight="1" x14ac:dyDescent="0.25">
      <c r="A17" s="399"/>
      <c r="B17" s="412" t="s">
        <v>369</v>
      </c>
      <c r="C17" s="411"/>
      <c r="D17" s="7">
        <f>'Parametry nakładów i pożyczki'!C40</f>
        <v>0</v>
      </c>
      <c r="E17" s="570" t="e">
        <f t="shared" si="3"/>
        <v>#DIV/0!</v>
      </c>
      <c r="F17" s="448">
        <f>'Parametry nakładów i pożyczki'!D41</f>
        <v>0</v>
      </c>
      <c r="G17" s="448">
        <f>'Parametry nakładów i pożyczki'!E41</f>
        <v>0</v>
      </c>
      <c r="H17" s="448">
        <f>'Parametry nakładów i pożyczki'!F41</f>
        <v>0</v>
      </c>
      <c r="I17" s="448">
        <f>'Parametry nakładów i pożyczki'!G41</f>
        <v>0</v>
      </c>
      <c r="J17" s="448">
        <f>'Parametry nakładów i pożyczki'!H41</f>
        <v>0</v>
      </c>
      <c r="K17" s="448">
        <f>'Parametry nakładów i pożyczki'!I41</f>
        <v>0</v>
      </c>
      <c r="L17" s="448">
        <f>'Parametry nakładów i pożyczki'!J41</f>
        <v>0</v>
      </c>
      <c r="M17" s="448">
        <f>'Parametry nakładów i pożyczki'!K41</f>
        <v>0</v>
      </c>
      <c r="N17" s="448">
        <f>'Parametry nakładów i pożyczki'!L41</f>
        <v>0</v>
      </c>
      <c r="Q17" s="7"/>
      <c r="R17" s="316" t="s">
        <v>340</v>
      </c>
      <c r="S17" s="448">
        <f t="shared" si="4"/>
        <v>0</v>
      </c>
      <c r="T17" s="423" t="e">
        <f t="shared" si="2"/>
        <v>#DIV/0!</v>
      </c>
    </row>
    <row r="18" spans="1:20" ht="15" hidden="1" customHeight="1" x14ac:dyDescent="0.25">
      <c r="A18" s="160" t="s">
        <v>20</v>
      </c>
      <c r="B18" s="369" t="str">
        <f>[1]Arkusz1!H15</f>
        <v>Zużycie materiałów i energii</v>
      </c>
      <c r="C18" s="7"/>
      <c r="D18" s="7"/>
      <c r="E18" s="423" t="e">
        <f t="shared" si="3"/>
        <v>#DIV/0!</v>
      </c>
      <c r="F18" s="7">
        <f>'plan kosztów eksploatacyjnych'!C3</f>
        <v>0</v>
      </c>
      <c r="G18" s="7">
        <f>'plan kosztów eksploatacyjnych'!D3</f>
        <v>0</v>
      </c>
      <c r="H18" s="7">
        <f>'plan kosztów eksploatacyjnych'!E3</f>
        <v>0</v>
      </c>
      <c r="I18" s="7">
        <f>'plan kosztów eksploatacyjnych'!F3</f>
        <v>0</v>
      </c>
      <c r="J18" s="7">
        <f>'plan kosztów eksploatacyjnych'!G3</f>
        <v>0</v>
      </c>
      <c r="K18" s="7">
        <f>'plan kosztów eksploatacyjnych'!H3</f>
        <v>0</v>
      </c>
      <c r="L18" s="7">
        <f>'plan kosztów eksploatacyjnych'!I3</f>
        <v>0</v>
      </c>
      <c r="M18" s="7">
        <f>'plan kosztów eksploatacyjnych'!J3</f>
        <v>0</v>
      </c>
      <c r="N18" s="7">
        <f>'plan kosztów eksploatacyjnych'!K3</f>
        <v>0</v>
      </c>
      <c r="Q18" s="7"/>
      <c r="R18" s="316" t="s">
        <v>340</v>
      </c>
      <c r="S18" s="7">
        <f t="shared" si="4"/>
        <v>0</v>
      </c>
      <c r="T18" s="423" t="e">
        <f t="shared" si="2"/>
        <v>#DIV/0!</v>
      </c>
    </row>
    <row r="19" spans="1:20" ht="15" hidden="1" customHeight="1" x14ac:dyDescent="0.25">
      <c r="A19" s="160" t="s">
        <v>21</v>
      </c>
      <c r="B19" s="369" t="str">
        <f>[1]Arkusz1!H16</f>
        <v>Usługi obce</v>
      </c>
      <c r="C19" s="7"/>
      <c r="D19" s="7"/>
      <c r="E19" s="423" t="e">
        <f t="shared" si="3"/>
        <v>#DIV/0!</v>
      </c>
      <c r="F19" s="7">
        <f>'plan kosztów eksploatacyjnych'!C9</f>
        <v>0</v>
      </c>
      <c r="G19" s="7">
        <f>'plan kosztów eksploatacyjnych'!D9</f>
        <v>0</v>
      </c>
      <c r="H19" s="7">
        <f>'plan kosztów eksploatacyjnych'!E9</f>
        <v>0</v>
      </c>
      <c r="I19" s="7">
        <f>'plan kosztów eksploatacyjnych'!F9</f>
        <v>0</v>
      </c>
      <c r="J19" s="7">
        <f>'plan kosztów eksploatacyjnych'!G9</f>
        <v>0</v>
      </c>
      <c r="K19" s="7">
        <f>'plan kosztów eksploatacyjnych'!H9</f>
        <v>0</v>
      </c>
      <c r="L19" s="7">
        <f>'plan kosztów eksploatacyjnych'!I9</f>
        <v>0</v>
      </c>
      <c r="M19" s="7">
        <f>'plan kosztów eksploatacyjnych'!J9</f>
        <v>0</v>
      </c>
      <c r="N19" s="7">
        <f>'plan kosztów eksploatacyjnych'!K9</f>
        <v>0</v>
      </c>
      <c r="Q19" s="7"/>
      <c r="R19" s="316" t="s">
        <v>340</v>
      </c>
      <c r="S19" s="7">
        <f t="shared" si="4"/>
        <v>0</v>
      </c>
      <c r="T19" s="423" t="e">
        <f t="shared" si="2"/>
        <v>#DIV/0!</v>
      </c>
    </row>
    <row r="20" spans="1:20" ht="15" hidden="1" customHeight="1" x14ac:dyDescent="0.25">
      <c r="A20" s="160" t="s">
        <v>22</v>
      </c>
      <c r="B20" s="369" t="str">
        <f>[1]Arkusz1!H17</f>
        <v>Podatki i opłaty, w tym</v>
      </c>
      <c r="C20" s="7"/>
      <c r="D20" s="7"/>
      <c r="E20" s="423" t="e">
        <f t="shared" si="3"/>
        <v>#DIV/0!</v>
      </c>
      <c r="F20" s="7">
        <f>'plan kosztów eksploatacyjnych'!C23</f>
        <v>0</v>
      </c>
      <c r="G20" s="7">
        <f>'plan kosztów eksploatacyjnych'!D23</f>
        <v>0</v>
      </c>
      <c r="H20" s="7">
        <f>'plan kosztów eksploatacyjnych'!E23</f>
        <v>0</v>
      </c>
      <c r="I20" s="7">
        <f>'plan kosztów eksploatacyjnych'!F23</f>
        <v>0</v>
      </c>
      <c r="J20" s="7">
        <f>'plan kosztów eksploatacyjnych'!G23</f>
        <v>0</v>
      </c>
      <c r="K20" s="7">
        <f>'plan kosztów eksploatacyjnych'!H23</f>
        <v>0</v>
      </c>
      <c r="L20" s="7">
        <f>'plan kosztów eksploatacyjnych'!I23</f>
        <v>0</v>
      </c>
      <c r="M20" s="7">
        <f>'plan kosztów eksploatacyjnych'!J23</f>
        <v>0</v>
      </c>
      <c r="N20" s="7">
        <f>'plan kosztów eksploatacyjnych'!K23</f>
        <v>0</v>
      </c>
      <c r="Q20" s="7"/>
      <c r="R20" s="316" t="s">
        <v>340</v>
      </c>
      <c r="S20" s="7">
        <f t="shared" si="4"/>
        <v>0</v>
      </c>
      <c r="T20" s="423" t="e">
        <f t="shared" si="2"/>
        <v>#DIV/0!</v>
      </c>
    </row>
    <row r="21" spans="1:20" ht="15" hidden="1" customHeight="1" x14ac:dyDescent="0.25">
      <c r="A21" s="160"/>
      <c r="B21" s="369" t="str">
        <f>[1]Arkusz1!H18</f>
        <v xml:space="preserve"> - podatek akcyzowy</v>
      </c>
      <c r="C21" s="7"/>
      <c r="D21" s="7"/>
      <c r="E21" s="423" t="e">
        <f t="shared" si="3"/>
        <v>#DIV/0!</v>
      </c>
      <c r="F21" s="7"/>
      <c r="G21" s="7"/>
      <c r="H21" s="7"/>
      <c r="I21" s="7"/>
      <c r="J21" s="10"/>
      <c r="K21" s="7"/>
      <c r="L21" s="7"/>
      <c r="M21" s="7"/>
      <c r="N21" s="7"/>
      <c r="Q21" s="7"/>
      <c r="R21" s="316" t="s">
        <v>340</v>
      </c>
      <c r="S21" s="7">
        <f t="shared" si="4"/>
        <v>0</v>
      </c>
      <c r="T21" s="423" t="e">
        <f t="shared" si="2"/>
        <v>#DIV/0!</v>
      </c>
    </row>
    <row r="22" spans="1:20" ht="15" hidden="1" customHeight="1" x14ac:dyDescent="0.25">
      <c r="A22" s="160" t="s">
        <v>24</v>
      </c>
      <c r="B22" s="369" t="s">
        <v>346</v>
      </c>
      <c r="C22" s="7"/>
      <c r="D22" s="7"/>
      <c r="E22" s="423" t="e">
        <f t="shared" si="3"/>
        <v>#DIV/0!</v>
      </c>
      <c r="F22" s="7">
        <f>'plan kosztów eksploatacyjnych'!C29</f>
        <v>0</v>
      </c>
      <c r="G22" s="7">
        <f>'plan kosztów eksploatacyjnych'!D29</f>
        <v>0</v>
      </c>
      <c r="H22" s="7">
        <f>'plan kosztów eksploatacyjnych'!E29</f>
        <v>0</v>
      </c>
      <c r="I22" s="7">
        <f>'plan kosztów eksploatacyjnych'!F29</f>
        <v>0</v>
      </c>
      <c r="J22" s="7">
        <f>'plan kosztów eksploatacyjnych'!G29</f>
        <v>0</v>
      </c>
      <c r="K22" s="7">
        <f>'plan kosztów eksploatacyjnych'!H29</f>
        <v>0</v>
      </c>
      <c r="L22" s="7">
        <f>'plan kosztów eksploatacyjnych'!I29</f>
        <v>0</v>
      </c>
      <c r="M22" s="7">
        <f>'plan kosztów eksploatacyjnych'!J29</f>
        <v>0</v>
      </c>
      <c r="N22" s="7">
        <f>'plan kosztów eksploatacyjnych'!K29</f>
        <v>0</v>
      </c>
      <c r="Q22" s="7"/>
      <c r="R22" s="316" t="s">
        <v>340</v>
      </c>
      <c r="S22" s="7">
        <f t="shared" si="4"/>
        <v>0</v>
      </c>
      <c r="T22" s="423" t="e">
        <f t="shared" si="2"/>
        <v>#DIV/0!</v>
      </c>
    </row>
    <row r="23" spans="1:20" ht="15" hidden="1" customHeight="1" x14ac:dyDescent="0.25">
      <c r="A23" s="160" t="s">
        <v>25</v>
      </c>
      <c r="B23" s="369" t="str">
        <f>[1]Arkusz1!H20</f>
        <v>Ubezpieczenia społeczne i inne świadczenia</v>
      </c>
      <c r="C23" s="7"/>
      <c r="D23" s="7"/>
      <c r="E23" s="423" t="e">
        <f t="shared" si="3"/>
        <v>#DIV/0!</v>
      </c>
      <c r="F23" s="7">
        <f>'plan kosztów eksploatacyjnych'!C40</f>
        <v>0</v>
      </c>
      <c r="G23" s="7">
        <f>'plan kosztów eksploatacyjnych'!D40</f>
        <v>0</v>
      </c>
      <c r="H23" s="7">
        <f>'plan kosztów eksploatacyjnych'!E40</f>
        <v>0</v>
      </c>
      <c r="I23" s="7">
        <f>'plan kosztów eksploatacyjnych'!F40</f>
        <v>0</v>
      </c>
      <c r="J23" s="7">
        <f>'plan kosztów eksploatacyjnych'!G40</f>
        <v>0</v>
      </c>
      <c r="K23" s="7">
        <f>'plan kosztów eksploatacyjnych'!H40</f>
        <v>0</v>
      </c>
      <c r="L23" s="7">
        <f>'plan kosztów eksploatacyjnych'!I40</f>
        <v>0</v>
      </c>
      <c r="M23" s="7">
        <f>'plan kosztów eksploatacyjnych'!J40</f>
        <v>0</v>
      </c>
      <c r="N23" s="7">
        <f>'plan kosztów eksploatacyjnych'!K40</f>
        <v>0</v>
      </c>
      <c r="Q23" s="7"/>
      <c r="R23" s="316" t="s">
        <v>340</v>
      </c>
      <c r="S23" s="7">
        <f t="shared" si="4"/>
        <v>0</v>
      </c>
      <c r="T23" s="423" t="e">
        <f t="shared" si="2"/>
        <v>#DIV/0!</v>
      </c>
    </row>
    <row r="24" spans="1:20" hidden="1" x14ac:dyDescent="0.25">
      <c r="A24" s="160" t="s">
        <v>26</v>
      </c>
      <c r="B24" s="369" t="str">
        <f>[1]Arkusz1!H21</f>
        <v>Pozostałe koszty rodzajowe</v>
      </c>
      <c r="C24" s="7"/>
      <c r="D24" s="7"/>
      <c r="E24" s="423" t="e">
        <f t="shared" si="3"/>
        <v>#DIV/0!</v>
      </c>
      <c r="F24" s="7">
        <f>'plan kosztów eksploatacyjnych'!C42</f>
        <v>0</v>
      </c>
      <c r="G24" s="7">
        <f>'plan kosztów eksploatacyjnych'!D42</f>
        <v>0</v>
      </c>
      <c r="H24" s="7">
        <f>'plan kosztów eksploatacyjnych'!E42</f>
        <v>0</v>
      </c>
      <c r="I24" s="7">
        <f>'plan kosztów eksploatacyjnych'!F42</f>
        <v>0</v>
      </c>
      <c r="J24" s="7">
        <f>'plan kosztów eksploatacyjnych'!G42</f>
        <v>0</v>
      </c>
      <c r="K24" s="7">
        <f>'plan kosztów eksploatacyjnych'!H42</f>
        <v>0</v>
      </c>
      <c r="L24" s="7">
        <f>'plan kosztów eksploatacyjnych'!I42</f>
        <v>0</v>
      </c>
      <c r="M24" s="7">
        <f>'plan kosztów eksploatacyjnych'!J42</f>
        <v>0</v>
      </c>
      <c r="N24" s="7">
        <f>'plan kosztów eksploatacyjnych'!K42</f>
        <v>0</v>
      </c>
      <c r="Q24" s="7"/>
      <c r="R24" s="316" t="s">
        <v>340</v>
      </c>
      <c r="S24" s="7">
        <f t="shared" si="4"/>
        <v>0</v>
      </c>
      <c r="T24" s="423" t="e">
        <f t="shared" si="2"/>
        <v>#DIV/0!</v>
      </c>
    </row>
    <row r="25" spans="1:20" ht="15" hidden="1" customHeight="1" x14ac:dyDescent="0.25">
      <c r="A25" s="160" t="s">
        <v>27</v>
      </c>
      <c r="B25" s="150"/>
      <c r="E25" s="424" t="e">
        <f t="shared" si="3"/>
        <v>#DIV/0!</v>
      </c>
      <c r="Q25" s="370"/>
      <c r="R25" s="316" t="s">
        <v>340</v>
      </c>
      <c r="S25" s="370">
        <f t="shared" si="4"/>
        <v>0</v>
      </c>
      <c r="T25" s="429" t="e">
        <f t="shared" si="2"/>
        <v>#DIV/0!</v>
      </c>
    </row>
    <row r="26" spans="1:20" ht="15" hidden="1" customHeight="1" x14ac:dyDescent="0.25">
      <c r="A26" s="161" t="s">
        <v>28</v>
      </c>
      <c r="B26" s="371" t="str">
        <f>[1]Arkusz1!H23</f>
        <v>Zysk (strata) ze sprzedaży (A-B)</v>
      </c>
      <c r="C26" s="8">
        <f t="shared" ref="C26:N26" si="7">SUM(C7,-C13)</f>
        <v>0</v>
      </c>
      <c r="D26" s="8">
        <f t="shared" si="7"/>
        <v>0</v>
      </c>
      <c r="E26" s="425" t="e">
        <f t="shared" si="3"/>
        <v>#DIV/0!</v>
      </c>
      <c r="F26" s="8">
        <f t="shared" si="7"/>
        <v>0</v>
      </c>
      <c r="G26" s="8">
        <f t="shared" si="7"/>
        <v>0</v>
      </c>
      <c r="H26" s="8">
        <f t="shared" si="7"/>
        <v>0</v>
      </c>
      <c r="I26" s="8">
        <f t="shared" si="7"/>
        <v>0</v>
      </c>
      <c r="J26" s="9">
        <f t="shared" si="7"/>
        <v>0</v>
      </c>
      <c r="K26" s="8">
        <f t="shared" si="7"/>
        <v>0</v>
      </c>
      <c r="L26" s="8">
        <f t="shared" si="7"/>
        <v>0</v>
      </c>
      <c r="M26" s="8">
        <f t="shared" si="7"/>
        <v>0</v>
      </c>
      <c r="N26" s="8">
        <f t="shared" si="7"/>
        <v>0</v>
      </c>
      <c r="Q26" s="8">
        <f t="shared" ref="Q26" si="8">SUM(Q7,-Q13)</f>
        <v>0</v>
      </c>
      <c r="R26" s="316"/>
      <c r="S26" s="8">
        <f t="shared" si="4"/>
        <v>0</v>
      </c>
      <c r="T26" s="425" t="e">
        <f t="shared" si="2"/>
        <v>#DIV/0!</v>
      </c>
    </row>
    <row r="27" spans="1:20" ht="15" hidden="1" customHeight="1" x14ac:dyDescent="0.25">
      <c r="A27" s="158" t="s">
        <v>29</v>
      </c>
      <c r="B27" s="361" t="str">
        <f>[1]Arkusz1!H24</f>
        <v>Pozostałe przychody operacyjne</v>
      </c>
      <c r="C27" s="47">
        <f t="shared" ref="C27:N27" si="9">SUM(C28:C30)</f>
        <v>0</v>
      </c>
      <c r="D27" s="47">
        <f t="shared" si="9"/>
        <v>0</v>
      </c>
      <c r="E27" s="421" t="e">
        <f t="shared" si="3"/>
        <v>#DIV/0!</v>
      </c>
      <c r="F27" s="47">
        <f>SUM(F28:F30)</f>
        <v>0</v>
      </c>
      <c r="G27" s="47">
        <f t="shared" si="9"/>
        <v>0</v>
      </c>
      <c r="H27" s="47">
        <f t="shared" ref="H27:M27" si="10">SUM(H28:H30)</f>
        <v>0</v>
      </c>
      <c r="I27" s="47">
        <f t="shared" si="10"/>
        <v>0</v>
      </c>
      <c r="J27" s="48">
        <f t="shared" si="10"/>
        <v>0</v>
      </c>
      <c r="K27" s="47">
        <f t="shared" si="10"/>
        <v>0</v>
      </c>
      <c r="L27" s="47">
        <f t="shared" si="10"/>
        <v>0</v>
      </c>
      <c r="M27" s="47">
        <f t="shared" si="10"/>
        <v>0</v>
      </c>
      <c r="N27" s="47">
        <f t="shared" si="9"/>
        <v>0</v>
      </c>
      <c r="Q27" s="47">
        <f t="shared" ref="Q27" si="11">SUM(Q28:Q30)</f>
        <v>0</v>
      </c>
      <c r="R27" s="316"/>
      <c r="S27" s="47">
        <f t="shared" si="4"/>
        <v>0</v>
      </c>
      <c r="T27" s="421" t="e">
        <f t="shared" si="2"/>
        <v>#DIV/0!</v>
      </c>
    </row>
    <row r="28" spans="1:20" ht="15" hidden="1" customHeight="1" x14ac:dyDescent="0.25">
      <c r="A28" s="399"/>
      <c r="B28" s="400" t="s">
        <v>362</v>
      </c>
      <c r="C28" s="53"/>
      <c r="D28" s="53"/>
      <c r="E28" s="423" t="e">
        <f t="shared" si="3"/>
        <v>#DIV/0!</v>
      </c>
      <c r="F28" s="448">
        <f>'plan sprzedaży i zakupów '!C22</f>
        <v>0</v>
      </c>
      <c r="G28" s="448"/>
      <c r="H28" s="448"/>
      <c r="I28" s="448"/>
      <c r="J28" s="448"/>
      <c r="K28" s="448"/>
      <c r="L28" s="448"/>
      <c r="M28" s="448"/>
      <c r="N28" s="448"/>
      <c r="O28" s="259"/>
      <c r="P28" s="259"/>
      <c r="Q28" s="53"/>
      <c r="R28" s="316" t="s">
        <v>340</v>
      </c>
      <c r="S28" s="448">
        <f t="shared" si="4"/>
        <v>0</v>
      </c>
      <c r="T28" s="423" t="e">
        <f t="shared" si="2"/>
        <v>#DIV/0!</v>
      </c>
    </row>
    <row r="29" spans="1:20" ht="15" hidden="1" customHeight="1" x14ac:dyDescent="0.25">
      <c r="A29" s="399"/>
      <c r="B29" s="400" t="str">
        <f>[1]Arkusz1!H26</f>
        <v>Dotacje</v>
      </c>
      <c r="C29" s="53"/>
      <c r="D29" s="53"/>
      <c r="E29" s="423" t="e">
        <f t="shared" si="3"/>
        <v>#DIV/0!</v>
      </c>
      <c r="F29" s="448">
        <f>'plan sprzedaży i zakupów '!C29</f>
        <v>0</v>
      </c>
      <c r="G29" s="448">
        <f>'plan sprzedaży i zakupów '!D29</f>
        <v>0</v>
      </c>
      <c r="H29" s="448">
        <f>'plan sprzedaży i zakupów '!E29</f>
        <v>0</v>
      </c>
      <c r="I29" s="448">
        <f>'plan sprzedaży i zakupów '!F29</f>
        <v>0</v>
      </c>
      <c r="J29" s="448">
        <f>'plan sprzedaży i zakupów '!G29</f>
        <v>0</v>
      </c>
      <c r="K29" s="448">
        <f>'plan sprzedaży i zakupów '!H29</f>
        <v>0</v>
      </c>
      <c r="L29" s="448">
        <f>'plan sprzedaży i zakupów '!I29</f>
        <v>0</v>
      </c>
      <c r="M29" s="448">
        <f>'plan sprzedaży i zakupów '!J29</f>
        <v>0</v>
      </c>
      <c r="N29" s="448">
        <f>'plan sprzedaży i zakupów '!K29</f>
        <v>0</v>
      </c>
      <c r="O29" s="259"/>
      <c r="P29" s="259"/>
      <c r="Q29" s="53"/>
      <c r="R29" s="316" t="s">
        <v>340</v>
      </c>
      <c r="S29" s="448">
        <f t="shared" si="4"/>
        <v>0</v>
      </c>
      <c r="T29" s="423" t="e">
        <f t="shared" si="2"/>
        <v>#DIV/0!</v>
      </c>
    </row>
    <row r="30" spans="1:20" ht="15" hidden="1" customHeight="1" x14ac:dyDescent="0.25">
      <c r="A30" s="160" t="s">
        <v>21</v>
      </c>
      <c r="B30" s="369" t="str">
        <f>[1]Arkusz1!H27</f>
        <v>Inne przychody operacyjne</v>
      </c>
      <c r="C30" s="7"/>
      <c r="D30" s="7"/>
      <c r="E30" s="423" t="e">
        <f t="shared" si="3"/>
        <v>#DIV/0!</v>
      </c>
      <c r="F30" s="7">
        <f>D30</f>
        <v>0</v>
      </c>
      <c r="G30" s="7">
        <f t="shared" ref="G30:N30" si="12">F30</f>
        <v>0</v>
      </c>
      <c r="H30" s="7">
        <f t="shared" si="12"/>
        <v>0</v>
      </c>
      <c r="I30" s="7">
        <f t="shared" si="12"/>
        <v>0</v>
      </c>
      <c r="J30" s="7">
        <f t="shared" si="12"/>
        <v>0</v>
      </c>
      <c r="K30" s="7">
        <f t="shared" si="12"/>
        <v>0</v>
      </c>
      <c r="L30" s="7">
        <f t="shared" si="12"/>
        <v>0</v>
      </c>
      <c r="M30" s="7">
        <f t="shared" si="12"/>
        <v>0</v>
      </c>
      <c r="N30" s="7">
        <f t="shared" si="12"/>
        <v>0</v>
      </c>
      <c r="Q30" s="7"/>
      <c r="R30" s="316" t="s">
        <v>340</v>
      </c>
      <c r="S30" s="7">
        <f t="shared" si="4"/>
        <v>0</v>
      </c>
      <c r="T30" s="423" t="e">
        <f t="shared" si="2"/>
        <v>#DIV/0!</v>
      </c>
    </row>
    <row r="31" spans="1:20" ht="15" hidden="1" customHeight="1" x14ac:dyDescent="0.25">
      <c r="A31" s="158" t="s">
        <v>30</v>
      </c>
      <c r="B31" s="361" t="str">
        <f>[1]Arkusz1!H28</f>
        <v>Pozostałe koszty operacyjne</v>
      </c>
      <c r="C31" s="47"/>
      <c r="D31" s="47">
        <f t="shared" ref="D31:N31" si="13">SUM(D32:D34)</f>
        <v>0</v>
      </c>
      <c r="E31" s="421" t="e">
        <f t="shared" si="3"/>
        <v>#DIV/0!</v>
      </c>
      <c r="F31" s="47">
        <f>SUM(F32:F34)</f>
        <v>0</v>
      </c>
      <c r="G31" s="47">
        <f t="shared" si="13"/>
        <v>0</v>
      </c>
      <c r="H31" s="47">
        <f t="shared" ref="H31:M31" si="14">SUM(H32:H34)</f>
        <v>0</v>
      </c>
      <c r="I31" s="47">
        <f t="shared" si="14"/>
        <v>0</v>
      </c>
      <c r="J31" s="48">
        <f t="shared" si="14"/>
        <v>0</v>
      </c>
      <c r="K31" s="47">
        <f t="shared" si="14"/>
        <v>0</v>
      </c>
      <c r="L31" s="47">
        <f t="shared" si="14"/>
        <v>0</v>
      </c>
      <c r="M31" s="47">
        <f t="shared" si="14"/>
        <v>0</v>
      </c>
      <c r="N31" s="47">
        <f t="shared" si="13"/>
        <v>0</v>
      </c>
      <c r="Q31" s="47">
        <f t="shared" ref="Q31" si="15">SUM(Q32:Q34)</f>
        <v>0</v>
      </c>
      <c r="R31" s="316"/>
      <c r="S31" s="47">
        <f t="shared" si="4"/>
        <v>0</v>
      </c>
      <c r="T31" s="421" t="e">
        <f t="shared" si="2"/>
        <v>#DIV/0!</v>
      </c>
    </row>
    <row r="32" spans="1:20" ht="15" hidden="1" customHeight="1" x14ac:dyDescent="0.25">
      <c r="A32" s="160" t="s">
        <v>19</v>
      </c>
      <c r="B32" s="369" t="str">
        <f>[1]Arkusz1!H29</f>
        <v>Strata ze zbycia niefinansowych aktywów trwałych</v>
      </c>
      <c r="C32" s="7"/>
      <c r="D32" s="7"/>
      <c r="E32" s="423" t="e">
        <f t="shared" si="3"/>
        <v>#DIV/0!</v>
      </c>
      <c r="F32" s="7"/>
      <c r="G32" s="7"/>
      <c r="H32" s="7"/>
      <c r="I32" s="7"/>
      <c r="J32" s="7"/>
      <c r="K32" s="7"/>
      <c r="L32" s="7"/>
      <c r="M32" s="7"/>
      <c r="N32" s="7"/>
      <c r="Q32" s="7"/>
      <c r="R32" s="316" t="s">
        <v>340</v>
      </c>
      <c r="S32" s="7">
        <f t="shared" si="4"/>
        <v>0</v>
      </c>
      <c r="T32" s="423" t="e">
        <f t="shared" si="2"/>
        <v>#DIV/0!</v>
      </c>
    </row>
    <row r="33" spans="1:22" hidden="1" x14ac:dyDescent="0.25">
      <c r="A33" s="160" t="s">
        <v>20</v>
      </c>
      <c r="B33" s="369"/>
      <c r="C33" s="7"/>
      <c r="D33" s="7"/>
      <c r="E33" s="423" t="e">
        <f t="shared" si="3"/>
        <v>#DIV/0!</v>
      </c>
      <c r="F33" s="7"/>
      <c r="G33" s="7"/>
      <c r="H33" s="7"/>
      <c r="I33" s="7"/>
      <c r="J33" s="10"/>
      <c r="K33" s="7"/>
      <c r="L33" s="7"/>
      <c r="M33" s="7"/>
      <c r="N33" s="7"/>
      <c r="Q33" s="7"/>
      <c r="R33" s="316" t="s">
        <v>340</v>
      </c>
      <c r="S33" s="7">
        <f t="shared" si="4"/>
        <v>0</v>
      </c>
      <c r="T33" s="423" t="e">
        <f t="shared" si="2"/>
        <v>#DIV/0!</v>
      </c>
    </row>
    <row r="34" spans="1:22" ht="15" hidden="1" customHeight="1" x14ac:dyDescent="0.25">
      <c r="A34" s="160" t="s">
        <v>21</v>
      </c>
      <c r="B34" s="369" t="str">
        <f>[1]Arkusz1!H31</f>
        <v>Inne koszty operacyjne</v>
      </c>
      <c r="C34" s="7"/>
      <c r="D34" s="7"/>
      <c r="E34" s="423" t="e">
        <f t="shared" si="3"/>
        <v>#DIV/0!</v>
      </c>
      <c r="F34" s="7">
        <f>D34</f>
        <v>0</v>
      </c>
      <c r="G34" s="7">
        <f t="shared" ref="G34:N34" si="16">F34</f>
        <v>0</v>
      </c>
      <c r="H34" s="7">
        <f t="shared" si="16"/>
        <v>0</v>
      </c>
      <c r="I34" s="7">
        <f t="shared" si="16"/>
        <v>0</v>
      </c>
      <c r="J34" s="7">
        <f t="shared" si="16"/>
        <v>0</v>
      </c>
      <c r="K34" s="7">
        <f t="shared" si="16"/>
        <v>0</v>
      </c>
      <c r="L34" s="7">
        <f t="shared" si="16"/>
        <v>0</v>
      </c>
      <c r="M34" s="7">
        <f t="shared" si="16"/>
        <v>0</v>
      </c>
      <c r="N34" s="7">
        <f t="shared" si="16"/>
        <v>0</v>
      </c>
      <c r="Q34" s="7"/>
      <c r="R34" s="316" t="s">
        <v>340</v>
      </c>
      <c r="S34" s="7">
        <f t="shared" si="4"/>
        <v>0</v>
      </c>
      <c r="T34" s="423" t="e">
        <f t="shared" si="2"/>
        <v>#DIV/0!</v>
      </c>
    </row>
    <row r="35" spans="1:22" ht="20.100000000000001" customHeight="1" x14ac:dyDescent="0.25">
      <c r="A35" s="683" t="s">
        <v>30</v>
      </c>
      <c r="B35" s="684" t="str">
        <f>[1]Arkusz1!H32</f>
        <v>Zysk (strata) z działalności operacyjnej (C+D-E)</v>
      </c>
      <c r="C35" s="685">
        <f>SUM(C26:C27,-C31)</f>
        <v>0</v>
      </c>
      <c r="D35" s="685">
        <f>SUM(D26:D27,-D31)</f>
        <v>0</v>
      </c>
      <c r="E35" s="686" t="e">
        <f t="shared" si="3"/>
        <v>#DIV/0!</v>
      </c>
      <c r="F35" s="685">
        <f>SUM(F26:F27,-F31)</f>
        <v>0</v>
      </c>
      <c r="G35" s="685">
        <f t="shared" ref="G35:N35" si="17">SUM(G26:G27,-G31)</f>
        <v>0</v>
      </c>
      <c r="H35" s="685">
        <f t="shared" si="17"/>
        <v>0</v>
      </c>
      <c r="I35" s="685">
        <f t="shared" si="17"/>
        <v>0</v>
      </c>
      <c r="J35" s="687">
        <f t="shared" si="17"/>
        <v>0</v>
      </c>
      <c r="K35" s="685">
        <f t="shared" si="17"/>
        <v>0</v>
      </c>
      <c r="L35" s="685">
        <f t="shared" si="17"/>
        <v>0</v>
      </c>
      <c r="M35" s="685">
        <f t="shared" si="17"/>
        <v>0</v>
      </c>
      <c r="N35" s="685">
        <f t="shared" si="17"/>
        <v>0</v>
      </c>
      <c r="O35" s="688"/>
      <c r="P35" s="688"/>
      <c r="Q35" s="685">
        <f>SUM(Q26:Q27,-Q31)</f>
        <v>0</v>
      </c>
      <c r="R35" s="316"/>
      <c r="S35" s="685">
        <f t="shared" si="4"/>
        <v>0</v>
      </c>
      <c r="T35" s="686" t="e">
        <f t="shared" si="2"/>
        <v>#DIV/0!</v>
      </c>
      <c r="V35" s="79"/>
    </row>
    <row r="36" spans="1:22" hidden="1" x14ac:dyDescent="0.25">
      <c r="A36" s="158" t="s">
        <v>32</v>
      </c>
      <c r="B36" s="361" t="str">
        <f>[1]Arkusz1!H33</f>
        <v xml:space="preserve">Przychody finansowe </v>
      </c>
      <c r="C36" s="391"/>
      <c r="D36" s="391"/>
      <c r="E36" s="426" t="e">
        <f t="shared" si="3"/>
        <v>#DIV/0!</v>
      </c>
      <c r="F36" s="47">
        <f>D36</f>
        <v>0</v>
      </c>
      <c r="G36" s="47">
        <f t="shared" ref="G36:N36" si="18">F36</f>
        <v>0</v>
      </c>
      <c r="H36" s="47">
        <f t="shared" si="18"/>
        <v>0</v>
      </c>
      <c r="I36" s="47">
        <f t="shared" si="18"/>
        <v>0</v>
      </c>
      <c r="J36" s="47">
        <f t="shared" si="18"/>
        <v>0</v>
      </c>
      <c r="K36" s="47">
        <f t="shared" si="18"/>
        <v>0</v>
      </c>
      <c r="L36" s="47">
        <f t="shared" si="18"/>
        <v>0</v>
      </c>
      <c r="M36" s="47">
        <f t="shared" si="18"/>
        <v>0</v>
      </c>
      <c r="N36" s="47">
        <f t="shared" si="18"/>
        <v>0</v>
      </c>
      <c r="Q36" s="391"/>
      <c r="R36" s="316" t="s">
        <v>340</v>
      </c>
      <c r="S36" s="391">
        <f t="shared" si="4"/>
        <v>0</v>
      </c>
      <c r="T36" s="426" t="e">
        <f t="shared" si="2"/>
        <v>#DIV/0!</v>
      </c>
    </row>
    <row r="37" spans="1:22" hidden="1" x14ac:dyDescent="0.25">
      <c r="A37" s="162" t="s">
        <v>19</v>
      </c>
      <c r="B37" s="372" t="str">
        <f>[1]Arkusz1!H34</f>
        <v xml:space="preserve">Dywidendy i udziały w zyskach, w tym: </v>
      </c>
      <c r="C37" s="7"/>
      <c r="D37" s="7"/>
      <c r="E37" s="423" t="e">
        <f t="shared" si="3"/>
        <v>#DIV/0!</v>
      </c>
      <c r="F37" s="7"/>
      <c r="G37" s="7"/>
      <c r="H37" s="7"/>
      <c r="I37" s="7"/>
      <c r="J37" s="10"/>
      <c r="K37" s="7"/>
      <c r="L37" s="7"/>
      <c r="M37" s="7"/>
      <c r="N37" s="7"/>
      <c r="Q37" s="7"/>
      <c r="R37" s="316" t="s">
        <v>340</v>
      </c>
      <c r="S37" s="7">
        <f t="shared" si="4"/>
        <v>0</v>
      </c>
      <c r="T37" s="423" t="e">
        <f t="shared" si="2"/>
        <v>#DIV/0!</v>
      </c>
    </row>
    <row r="38" spans="1:22" hidden="1" x14ac:dyDescent="0.25">
      <c r="A38" s="162"/>
      <c r="B38" s="372" t="str">
        <f>[1]Arkusz1!H35</f>
        <v xml:space="preserve"> - od jednostek powiązanych</v>
      </c>
      <c r="C38" s="7"/>
      <c r="D38" s="7"/>
      <c r="E38" s="423" t="e">
        <f t="shared" si="3"/>
        <v>#DIV/0!</v>
      </c>
      <c r="F38" s="7"/>
      <c r="G38" s="7"/>
      <c r="H38" s="7"/>
      <c r="I38" s="7"/>
      <c r="J38" s="10"/>
      <c r="K38" s="7"/>
      <c r="L38" s="7"/>
      <c r="M38" s="7"/>
      <c r="N38" s="7"/>
      <c r="Q38" s="7"/>
      <c r="R38" s="316" t="s">
        <v>340</v>
      </c>
      <c r="S38" s="7">
        <f t="shared" si="4"/>
        <v>0</v>
      </c>
      <c r="T38" s="423" t="e">
        <f t="shared" si="2"/>
        <v>#DIV/0!</v>
      </c>
    </row>
    <row r="39" spans="1:22" hidden="1" x14ac:dyDescent="0.25">
      <c r="A39" s="162" t="s">
        <v>20</v>
      </c>
      <c r="B39" s="372" t="str">
        <f>[1]Arkusz1!H36</f>
        <v>Odsetki, w tym:</v>
      </c>
      <c r="C39" s="7"/>
      <c r="D39" s="7"/>
      <c r="E39" s="423" t="e">
        <f t="shared" si="3"/>
        <v>#DIV/0!</v>
      </c>
      <c r="F39" s="7"/>
      <c r="G39" s="7"/>
      <c r="H39" s="7"/>
      <c r="I39" s="7"/>
      <c r="J39" s="10"/>
      <c r="K39" s="7"/>
      <c r="L39" s="7"/>
      <c r="M39" s="7"/>
      <c r="N39" s="7"/>
      <c r="Q39" s="7"/>
      <c r="R39" s="316" t="s">
        <v>340</v>
      </c>
      <c r="S39" s="7">
        <f t="shared" si="4"/>
        <v>0</v>
      </c>
      <c r="T39" s="423" t="e">
        <f t="shared" si="2"/>
        <v>#DIV/0!</v>
      </c>
    </row>
    <row r="40" spans="1:22" hidden="1" x14ac:dyDescent="0.25">
      <c r="A40" s="162"/>
      <c r="B40" s="372" t="str">
        <f>[1]Arkusz1!H37</f>
        <v xml:space="preserve"> - od jednostek  powiązanych</v>
      </c>
      <c r="C40" s="7"/>
      <c r="D40" s="7"/>
      <c r="E40" s="423" t="e">
        <f t="shared" si="3"/>
        <v>#DIV/0!</v>
      </c>
      <c r="F40" s="7"/>
      <c r="G40" s="7"/>
      <c r="H40" s="7"/>
      <c r="I40" s="7"/>
      <c r="J40" s="10"/>
      <c r="K40" s="7"/>
      <c r="L40" s="7"/>
      <c r="M40" s="7"/>
      <c r="N40" s="7"/>
      <c r="Q40" s="7"/>
      <c r="R40" s="316" t="s">
        <v>340</v>
      </c>
      <c r="S40" s="7">
        <f t="shared" si="4"/>
        <v>0</v>
      </c>
      <c r="T40" s="423" t="e">
        <f t="shared" si="2"/>
        <v>#DIV/0!</v>
      </c>
    </row>
    <row r="41" spans="1:22" hidden="1" x14ac:dyDescent="0.25">
      <c r="A41" s="162" t="s">
        <v>21</v>
      </c>
      <c r="B41" s="372" t="str">
        <f>[1]Arkusz1!H38</f>
        <v>Zysk ze zbycia inwestycji</v>
      </c>
      <c r="C41" s="7"/>
      <c r="D41" s="7"/>
      <c r="E41" s="423" t="e">
        <f t="shared" si="3"/>
        <v>#DIV/0!</v>
      </c>
      <c r="F41" s="7"/>
      <c r="G41" s="7"/>
      <c r="H41" s="7"/>
      <c r="I41" s="7"/>
      <c r="J41" s="10"/>
      <c r="K41" s="7"/>
      <c r="L41" s="7"/>
      <c r="M41" s="7"/>
      <c r="N41" s="7"/>
      <c r="Q41" s="7"/>
      <c r="R41" s="316" t="s">
        <v>340</v>
      </c>
      <c r="S41" s="7">
        <f t="shared" si="4"/>
        <v>0</v>
      </c>
      <c r="T41" s="423" t="e">
        <f t="shared" si="2"/>
        <v>#DIV/0!</v>
      </c>
    </row>
    <row r="42" spans="1:22" hidden="1" x14ac:dyDescent="0.25">
      <c r="A42" s="162" t="s">
        <v>22</v>
      </c>
      <c r="B42" s="372" t="str">
        <f>[1]Arkusz1!H39</f>
        <v>Aktualizacja wartości inwestycji</v>
      </c>
      <c r="C42" s="7"/>
      <c r="D42" s="7"/>
      <c r="E42" s="423" t="e">
        <f t="shared" si="3"/>
        <v>#DIV/0!</v>
      </c>
      <c r="F42" s="38"/>
      <c r="G42" s="38"/>
      <c r="H42" s="38"/>
      <c r="I42" s="38"/>
      <c r="J42" s="38"/>
      <c r="K42" s="38"/>
      <c r="L42" s="38"/>
      <c r="M42" s="38"/>
      <c r="N42" s="163"/>
      <c r="Q42" s="7"/>
      <c r="R42" s="316" t="s">
        <v>340</v>
      </c>
      <c r="S42" s="7">
        <f t="shared" si="4"/>
        <v>0</v>
      </c>
      <c r="T42" s="423" t="e">
        <f t="shared" si="2"/>
        <v>#DIV/0!</v>
      </c>
    </row>
    <row r="43" spans="1:22" hidden="1" x14ac:dyDescent="0.25">
      <c r="A43" s="162" t="s">
        <v>24</v>
      </c>
      <c r="B43" s="372" t="str">
        <f>[1]Arkusz1!H40</f>
        <v>Inne</v>
      </c>
      <c r="C43" s="7"/>
      <c r="D43" s="7"/>
      <c r="E43" s="423" t="e">
        <f t="shared" si="3"/>
        <v>#DIV/0!</v>
      </c>
      <c r="F43" s="7"/>
      <c r="G43" s="7"/>
      <c r="H43" s="7"/>
      <c r="I43" s="7"/>
      <c r="J43" s="10"/>
      <c r="K43" s="7"/>
      <c r="L43" s="7"/>
      <c r="M43" s="7"/>
      <c r="N43" s="7"/>
      <c r="Q43" s="7"/>
      <c r="R43" s="316" t="s">
        <v>340</v>
      </c>
      <c r="S43" s="7">
        <f t="shared" si="4"/>
        <v>0</v>
      </c>
      <c r="T43" s="423" t="e">
        <f t="shared" si="2"/>
        <v>#DIV/0!</v>
      </c>
    </row>
    <row r="44" spans="1:22" ht="20.100000000000001" hidden="1" customHeight="1" x14ac:dyDescent="0.25">
      <c r="A44" s="158" t="s">
        <v>31</v>
      </c>
      <c r="B44" s="361" t="s">
        <v>354</v>
      </c>
      <c r="C44" s="47">
        <f>C45+C49+C50</f>
        <v>0</v>
      </c>
      <c r="D44" s="47">
        <f>D45+D49+D50</f>
        <v>0</v>
      </c>
      <c r="E44" s="421" t="e">
        <f t="shared" si="3"/>
        <v>#DIV/0!</v>
      </c>
      <c r="F44" s="47">
        <f>F45+F49+F50</f>
        <v>0</v>
      </c>
      <c r="G44" s="47">
        <f t="shared" ref="G44:N44" si="19">G45+G49+G50</f>
        <v>0</v>
      </c>
      <c r="H44" s="47">
        <f t="shared" si="19"/>
        <v>0</v>
      </c>
      <c r="I44" s="47">
        <f t="shared" si="19"/>
        <v>0</v>
      </c>
      <c r="J44" s="47">
        <f t="shared" si="19"/>
        <v>0</v>
      </c>
      <c r="K44" s="47">
        <f t="shared" si="19"/>
        <v>0</v>
      </c>
      <c r="L44" s="47">
        <f t="shared" si="19"/>
        <v>0</v>
      </c>
      <c r="M44" s="47">
        <f t="shared" si="19"/>
        <v>0</v>
      </c>
      <c r="N44" s="47">
        <f t="shared" si="19"/>
        <v>0</v>
      </c>
      <c r="Q44" s="47">
        <f>Q45+Q49+Q50</f>
        <v>0</v>
      </c>
      <c r="R44" s="316"/>
      <c r="S44" s="47">
        <f t="shared" si="4"/>
        <v>0</v>
      </c>
      <c r="T44" s="421" t="e">
        <f t="shared" si="2"/>
        <v>#DIV/0!</v>
      </c>
    </row>
    <row r="45" spans="1:22" ht="15" hidden="1" customHeight="1" x14ac:dyDescent="0.25">
      <c r="A45" s="399"/>
      <c r="B45" s="400" t="str">
        <f>[1]Arkusz1!H42</f>
        <v>Odsetki, w tym:</v>
      </c>
      <c r="C45" s="258">
        <f>C46+C47+C48</f>
        <v>0</v>
      </c>
      <c r="D45" s="258">
        <f>D46+D47+D48</f>
        <v>0</v>
      </c>
      <c r="E45" s="427" t="e">
        <f t="shared" si="3"/>
        <v>#DIV/0!</v>
      </c>
      <c r="F45" s="448">
        <f>F46+F47+F48</f>
        <v>0</v>
      </c>
      <c r="G45" s="448">
        <f t="shared" ref="G45:N45" si="20">G46+G47+G48</f>
        <v>0</v>
      </c>
      <c r="H45" s="448">
        <f t="shared" si="20"/>
        <v>0</v>
      </c>
      <c r="I45" s="448">
        <f t="shared" si="20"/>
        <v>0</v>
      </c>
      <c r="J45" s="448">
        <f t="shared" si="20"/>
        <v>0</v>
      </c>
      <c r="K45" s="448">
        <f t="shared" si="20"/>
        <v>0</v>
      </c>
      <c r="L45" s="448">
        <f t="shared" si="20"/>
        <v>0</v>
      </c>
      <c r="M45" s="448">
        <f t="shared" si="20"/>
        <v>0</v>
      </c>
      <c r="N45" s="448">
        <f t="shared" si="20"/>
        <v>0</v>
      </c>
      <c r="Q45" s="258">
        <f>Q46+Q47+Q48</f>
        <v>0</v>
      </c>
      <c r="R45" s="316"/>
      <c r="S45" s="258">
        <f t="shared" si="4"/>
        <v>0</v>
      </c>
      <c r="T45" s="427" t="e">
        <f t="shared" si="2"/>
        <v>#DIV/0!</v>
      </c>
    </row>
    <row r="46" spans="1:22" ht="15" hidden="1" customHeight="1" x14ac:dyDescent="0.25">
      <c r="A46" s="399"/>
      <c r="B46" s="400" t="str">
        <f>[1]Arkusz1!H43</f>
        <v xml:space="preserve"> - od jednostek powiązanych</v>
      </c>
      <c r="C46" s="7"/>
      <c r="D46" s="7"/>
      <c r="E46" s="423" t="e">
        <f t="shared" si="3"/>
        <v>#DIV/0!</v>
      </c>
      <c r="F46" s="448">
        <f>D46</f>
        <v>0</v>
      </c>
      <c r="G46" s="448">
        <f t="shared" ref="G46:N46" si="21">F46</f>
        <v>0</v>
      </c>
      <c r="H46" s="448">
        <f t="shared" si="21"/>
        <v>0</v>
      </c>
      <c r="I46" s="448">
        <f t="shared" si="21"/>
        <v>0</v>
      </c>
      <c r="J46" s="448">
        <f t="shared" si="21"/>
        <v>0</v>
      </c>
      <c r="K46" s="448">
        <f t="shared" si="21"/>
        <v>0</v>
      </c>
      <c r="L46" s="448">
        <f t="shared" si="21"/>
        <v>0</v>
      </c>
      <c r="M46" s="448">
        <f t="shared" si="21"/>
        <v>0</v>
      </c>
      <c r="N46" s="448">
        <f t="shared" si="21"/>
        <v>0</v>
      </c>
      <c r="Q46" s="7"/>
      <c r="R46" s="316" t="s">
        <v>340</v>
      </c>
      <c r="S46" s="448">
        <f t="shared" si="4"/>
        <v>0</v>
      </c>
      <c r="T46" s="423" t="e">
        <f t="shared" si="2"/>
        <v>#DIV/0!</v>
      </c>
    </row>
    <row r="47" spans="1:22" hidden="1" x14ac:dyDescent="0.25">
      <c r="A47" s="399"/>
      <c r="B47" s="185" t="s">
        <v>385</v>
      </c>
      <c r="C47" s="258"/>
      <c r="D47" s="258"/>
      <c r="E47" s="427" t="e">
        <f t="shared" si="3"/>
        <v>#DIV/0!</v>
      </c>
      <c r="F47" s="448">
        <f>-przepływy!D25</f>
        <v>0</v>
      </c>
      <c r="G47" s="448">
        <f>-przepływy!E25</f>
        <v>0</v>
      </c>
      <c r="H47" s="448">
        <f>-przepływy!F25</f>
        <v>0</v>
      </c>
      <c r="I47" s="448">
        <f>-przepływy!G25</f>
        <v>0</v>
      </c>
      <c r="J47" s="448">
        <f>-przepływy!H25</f>
        <v>0</v>
      </c>
      <c r="K47" s="448">
        <f>-przepływy!I25</f>
        <v>0</v>
      </c>
      <c r="L47" s="448">
        <f>-przepływy!J25</f>
        <v>0</v>
      </c>
      <c r="M47" s="448">
        <f>-przepływy!K25</f>
        <v>0</v>
      </c>
      <c r="N47" s="448">
        <f>-przepływy!L25</f>
        <v>0</v>
      </c>
      <c r="Q47" s="258"/>
      <c r="R47" s="316"/>
      <c r="S47" s="258">
        <f t="shared" si="4"/>
        <v>0</v>
      </c>
      <c r="T47" s="427" t="e">
        <f t="shared" si="2"/>
        <v>#DIV/0!</v>
      </c>
    </row>
    <row r="48" spans="1:22" ht="21" hidden="1" customHeight="1" x14ac:dyDescent="0.25">
      <c r="A48" s="399"/>
      <c r="B48" s="185" t="s">
        <v>355</v>
      </c>
      <c r="C48" s="53"/>
      <c r="D48" s="53">
        <f>-'plan sprzedaży i zakupów '!B26</f>
        <v>0</v>
      </c>
      <c r="E48" s="423" t="e">
        <f t="shared" si="3"/>
        <v>#DIV/0!</v>
      </c>
      <c r="F48" s="448">
        <f>-'plan sprzedaży i zakupów '!C26</f>
        <v>0</v>
      </c>
      <c r="G48" s="448">
        <f>-'plan sprzedaży i zakupów '!D26</f>
        <v>0</v>
      </c>
      <c r="H48" s="448">
        <f>-'plan sprzedaży i zakupów '!E26</f>
        <v>0</v>
      </c>
      <c r="I48" s="448">
        <f>-'plan sprzedaży i zakupów '!F26</f>
        <v>0</v>
      </c>
      <c r="J48" s="448">
        <f>-'plan sprzedaży i zakupów '!G26</f>
        <v>0</v>
      </c>
      <c r="K48" s="448">
        <f>-'plan sprzedaży i zakupów '!H26</f>
        <v>0</v>
      </c>
      <c r="L48" s="448">
        <f>-'plan sprzedaży i zakupów '!I26</f>
        <v>0</v>
      </c>
      <c r="M48" s="448">
        <f>-'plan sprzedaży i zakupów '!J26</f>
        <v>0</v>
      </c>
      <c r="N48" s="448">
        <f>-'plan sprzedaży i zakupów '!K26</f>
        <v>0</v>
      </c>
      <c r="O48" s="259"/>
      <c r="P48" s="259"/>
      <c r="Q48" s="53">
        <f>F48*S6/12</f>
        <v>0</v>
      </c>
      <c r="R48" s="316" t="s">
        <v>340</v>
      </c>
      <c r="S48" s="448">
        <f t="shared" si="4"/>
        <v>0</v>
      </c>
      <c r="T48" s="423" t="e">
        <f t="shared" si="2"/>
        <v>#DIV/0!</v>
      </c>
    </row>
    <row r="49" spans="1:20" ht="15" hidden="1" customHeight="1" x14ac:dyDescent="0.25">
      <c r="A49" s="160" t="s">
        <v>20</v>
      </c>
      <c r="B49" s="369" t="str">
        <f>[1]Arkusz1!H44</f>
        <v>Strata ze zbycia inwestycji</v>
      </c>
      <c r="C49" s="7"/>
      <c r="D49" s="7"/>
      <c r="E49" s="423" t="e">
        <f t="shared" si="3"/>
        <v>#DIV/0!</v>
      </c>
      <c r="F49" s="448"/>
      <c r="G49" s="448"/>
      <c r="H49" s="448"/>
      <c r="I49" s="448"/>
      <c r="J49" s="449"/>
      <c r="K49" s="448"/>
      <c r="L49" s="448"/>
      <c r="M49" s="448"/>
      <c r="N49" s="448"/>
      <c r="Q49" s="7"/>
      <c r="R49" s="316" t="s">
        <v>340</v>
      </c>
      <c r="S49" s="448">
        <f t="shared" si="4"/>
        <v>0</v>
      </c>
      <c r="T49" s="423" t="e">
        <f t="shared" si="2"/>
        <v>#DIV/0!</v>
      </c>
    </row>
    <row r="50" spans="1:20" ht="15" hidden="1" customHeight="1" x14ac:dyDescent="0.25">
      <c r="A50" s="164" t="s">
        <v>21</v>
      </c>
      <c r="B50" s="373" t="str">
        <f>[1]Arkusz1!H45</f>
        <v>Aktualizacja wartości inwestycji</v>
      </c>
      <c r="C50" s="360"/>
      <c r="D50" s="360"/>
      <c r="E50" s="428" t="e">
        <f t="shared" si="3"/>
        <v>#DIV/0!</v>
      </c>
      <c r="F50" s="450"/>
      <c r="G50" s="450"/>
      <c r="H50" s="450"/>
      <c r="I50" s="450"/>
      <c r="J50" s="451"/>
      <c r="K50" s="450"/>
      <c r="L50" s="450"/>
      <c r="M50" s="450"/>
      <c r="N50" s="450"/>
      <c r="Q50" s="360"/>
      <c r="R50" s="316" t="s">
        <v>340</v>
      </c>
      <c r="S50" s="450">
        <f t="shared" si="4"/>
        <v>0</v>
      </c>
      <c r="T50" s="428" t="e">
        <f t="shared" si="2"/>
        <v>#DIV/0!</v>
      </c>
    </row>
    <row r="51" spans="1:20" ht="20.100000000000001" customHeight="1" x14ac:dyDescent="0.25">
      <c r="A51" s="158" t="s">
        <v>32</v>
      </c>
      <c r="B51" s="361" t="s">
        <v>358</v>
      </c>
      <c r="C51" s="260"/>
      <c r="D51" s="260"/>
      <c r="E51" s="426" t="e">
        <f t="shared" si="3"/>
        <v>#DIV/0!</v>
      </c>
      <c r="F51" s="47">
        <f>'POŻYCZKA I'!E11-D51</f>
        <v>0</v>
      </c>
      <c r="G51" s="47">
        <f>'POŻYCZKA I'!F11</f>
        <v>0</v>
      </c>
      <c r="H51" s="47">
        <f>'POŻYCZKA I'!G11</f>
        <v>0</v>
      </c>
      <c r="I51" s="47">
        <f>'POŻYCZKA I'!H11</f>
        <v>0</v>
      </c>
      <c r="J51" s="47">
        <f>'POŻYCZKA I'!I11</f>
        <v>0</v>
      </c>
      <c r="K51" s="47">
        <f>'POŻYCZKA I'!J11</f>
        <v>0</v>
      </c>
      <c r="L51" s="47">
        <f>'POŻYCZKA I'!K11</f>
        <v>0</v>
      </c>
      <c r="M51" s="47">
        <f>'POŻYCZKA I'!L11</f>
        <v>0</v>
      </c>
      <c r="N51" s="47">
        <f>'POŻYCZKA I'!M11</f>
        <v>0</v>
      </c>
      <c r="O51" s="259"/>
      <c r="P51" s="259"/>
      <c r="Q51" s="260"/>
      <c r="R51" s="316" t="s">
        <v>340</v>
      </c>
      <c r="S51" s="452">
        <f t="shared" si="4"/>
        <v>0</v>
      </c>
      <c r="T51" s="426" t="e">
        <f t="shared" si="2"/>
        <v>#DIV/0!</v>
      </c>
    </row>
    <row r="52" spans="1:20" ht="20.100000000000001" hidden="1" customHeight="1" x14ac:dyDescent="0.25">
      <c r="A52" s="161" t="s">
        <v>19</v>
      </c>
      <c r="B52" s="371" t="str">
        <f>[1]Arkusz1!H47</f>
        <v>Zysk (strata) z działalności gospodarczej (F+G-H)</v>
      </c>
      <c r="C52" s="8">
        <f>SUM(C35:C36)-C51</f>
        <v>0</v>
      </c>
      <c r="D52" s="8">
        <f>SUM(D35:D36)-D51</f>
        <v>0</v>
      </c>
      <c r="E52" s="425" t="e">
        <f t="shared" si="3"/>
        <v>#DIV/0!</v>
      </c>
      <c r="F52" s="8">
        <f>SUM(F35:F36)-F51</f>
        <v>0</v>
      </c>
      <c r="G52" s="8">
        <f t="shared" ref="G52:N52" si="22">SUM(G35:G36)-G51</f>
        <v>0</v>
      </c>
      <c r="H52" s="8">
        <f t="shared" si="22"/>
        <v>0</v>
      </c>
      <c r="I52" s="8">
        <f t="shared" si="22"/>
        <v>0</v>
      </c>
      <c r="J52" s="8">
        <f t="shared" si="22"/>
        <v>0</v>
      </c>
      <c r="K52" s="8">
        <f t="shared" si="22"/>
        <v>0</v>
      </c>
      <c r="L52" s="8">
        <f t="shared" si="22"/>
        <v>0</v>
      </c>
      <c r="M52" s="8">
        <f t="shared" si="22"/>
        <v>0</v>
      </c>
      <c r="N52" s="8">
        <f t="shared" si="22"/>
        <v>0</v>
      </c>
      <c r="Q52" s="8">
        <f>SUM(Q35:Q36)-Q51</f>
        <v>0</v>
      </c>
      <c r="R52" s="316"/>
      <c r="S52" s="8">
        <f t="shared" si="4"/>
        <v>0</v>
      </c>
      <c r="T52" s="425" t="e">
        <f t="shared" si="2"/>
        <v>#DIV/0!</v>
      </c>
    </row>
    <row r="53" spans="1:20" ht="15" hidden="1" customHeight="1" x14ac:dyDescent="0.25">
      <c r="A53" s="158" t="s">
        <v>33</v>
      </c>
      <c r="B53" s="361" t="str">
        <f>[1]Arkusz1!H48</f>
        <v>Wynik zdarzeń nadzwyczajnych (J.I.-J.II.)</v>
      </c>
      <c r="C53" s="47">
        <f t="shared" ref="C53" si="23">SUM(C54,-C55)</f>
        <v>0</v>
      </c>
      <c r="D53" s="47">
        <f t="shared" ref="D53:N53" si="24">SUM(D54,-D55)</f>
        <v>0</v>
      </c>
      <c r="E53" s="421" t="e">
        <f t="shared" si="3"/>
        <v>#DIV/0!</v>
      </c>
      <c r="F53" s="47">
        <f>SUM(F54,-F55)</f>
        <v>0</v>
      </c>
      <c r="G53" s="47">
        <f t="shared" si="24"/>
        <v>0</v>
      </c>
      <c r="H53" s="47">
        <f t="shared" si="24"/>
        <v>0</v>
      </c>
      <c r="I53" s="47">
        <f t="shared" si="24"/>
        <v>0</v>
      </c>
      <c r="J53" s="48">
        <f t="shared" si="24"/>
        <v>0</v>
      </c>
      <c r="K53" s="47">
        <f t="shared" si="24"/>
        <v>0</v>
      </c>
      <c r="L53" s="47">
        <f t="shared" si="24"/>
        <v>0</v>
      </c>
      <c r="M53" s="47">
        <f t="shared" si="24"/>
        <v>0</v>
      </c>
      <c r="N53" s="47">
        <f t="shared" si="24"/>
        <v>0</v>
      </c>
      <c r="Q53" s="47">
        <f t="shared" ref="Q53" si="25">SUM(Q54,-Q55)</f>
        <v>0</v>
      </c>
      <c r="R53" s="316"/>
      <c r="S53" s="47">
        <f t="shared" si="4"/>
        <v>0</v>
      </c>
      <c r="T53" s="421" t="e">
        <f t="shared" si="2"/>
        <v>#DIV/0!</v>
      </c>
    </row>
    <row r="54" spans="1:20" ht="15" hidden="1" customHeight="1" x14ac:dyDescent="0.25">
      <c r="A54" s="160" t="s">
        <v>19</v>
      </c>
      <c r="B54" s="369" t="str">
        <f>[1]Arkusz1!H49</f>
        <v>Zyski nadzwyczajne</v>
      </c>
      <c r="C54" s="7"/>
      <c r="D54" s="7"/>
      <c r="E54" s="423" t="e">
        <f t="shared" si="3"/>
        <v>#DIV/0!</v>
      </c>
      <c r="F54" s="7"/>
      <c r="G54" s="7"/>
      <c r="H54" s="7"/>
      <c r="I54" s="7"/>
      <c r="J54" s="7"/>
      <c r="K54" s="7"/>
      <c r="L54" s="7"/>
      <c r="M54" s="7"/>
      <c r="N54" s="7"/>
      <c r="Q54" s="7"/>
      <c r="R54" s="316" t="s">
        <v>340</v>
      </c>
      <c r="S54" s="7">
        <f t="shared" si="4"/>
        <v>0</v>
      </c>
      <c r="T54" s="423" t="e">
        <f t="shared" si="2"/>
        <v>#DIV/0!</v>
      </c>
    </row>
    <row r="55" spans="1:20" ht="20.100000000000001" customHeight="1" x14ac:dyDescent="0.25">
      <c r="A55" s="363" t="s">
        <v>33</v>
      </c>
      <c r="B55" s="374" t="s">
        <v>350</v>
      </c>
      <c r="C55" s="362"/>
      <c r="D55" s="362"/>
      <c r="E55" s="446" t="e">
        <f t="shared" si="3"/>
        <v>#DIV/0!</v>
      </c>
      <c r="F55" s="447">
        <f>D55</f>
        <v>0</v>
      </c>
      <c r="G55" s="447">
        <f t="shared" ref="G55:N55" si="26">F55</f>
        <v>0</v>
      </c>
      <c r="H55" s="447">
        <f t="shared" si="26"/>
        <v>0</v>
      </c>
      <c r="I55" s="447">
        <f t="shared" si="26"/>
        <v>0</v>
      </c>
      <c r="J55" s="447">
        <f t="shared" si="26"/>
        <v>0</v>
      </c>
      <c r="K55" s="447">
        <f t="shared" si="26"/>
        <v>0</v>
      </c>
      <c r="L55" s="447">
        <f t="shared" si="26"/>
        <v>0</v>
      </c>
      <c r="M55" s="447">
        <f t="shared" si="26"/>
        <v>0</v>
      </c>
      <c r="N55" s="447">
        <f t="shared" si="26"/>
        <v>0</v>
      </c>
      <c r="O55" s="259"/>
      <c r="P55" s="259"/>
      <c r="Q55" s="362"/>
      <c r="R55" s="316" t="s">
        <v>340</v>
      </c>
      <c r="S55" s="453">
        <f t="shared" si="4"/>
        <v>0</v>
      </c>
      <c r="T55" s="446" t="e">
        <f t="shared" si="2"/>
        <v>#DIV/0!</v>
      </c>
    </row>
    <row r="56" spans="1:20" ht="20.100000000000001" customHeight="1" x14ac:dyDescent="0.25">
      <c r="A56" s="683" t="s">
        <v>356</v>
      </c>
      <c r="B56" s="684" t="str">
        <f>[1]Arkusz1!H51</f>
        <v>Zysk (strata) brutto (I+/- J)</v>
      </c>
      <c r="C56" s="685">
        <f>SUM(C52,C53)</f>
        <v>0</v>
      </c>
      <c r="D56" s="685">
        <f>SUM(D52,D53)</f>
        <v>0</v>
      </c>
      <c r="E56" s="686" t="e">
        <f t="shared" si="3"/>
        <v>#DIV/0!</v>
      </c>
      <c r="F56" s="685">
        <f>SUM(F52,F53)</f>
        <v>0</v>
      </c>
      <c r="G56" s="685">
        <f t="shared" ref="G56:N56" si="27">SUM(G52,G53)</f>
        <v>0</v>
      </c>
      <c r="H56" s="685">
        <f t="shared" si="27"/>
        <v>0</v>
      </c>
      <c r="I56" s="685">
        <f t="shared" si="27"/>
        <v>0</v>
      </c>
      <c r="J56" s="687">
        <f t="shared" si="27"/>
        <v>0</v>
      </c>
      <c r="K56" s="685">
        <f t="shared" si="27"/>
        <v>0</v>
      </c>
      <c r="L56" s="685">
        <f t="shared" si="27"/>
        <v>0</v>
      </c>
      <c r="M56" s="685">
        <f t="shared" si="27"/>
        <v>0</v>
      </c>
      <c r="N56" s="685">
        <f t="shared" si="27"/>
        <v>0</v>
      </c>
      <c r="O56" s="688"/>
      <c r="P56" s="688"/>
      <c r="Q56" s="685">
        <f t="shared" ref="Q56" si="28">SUM(Q52,Q53)</f>
        <v>0</v>
      </c>
      <c r="R56" s="316"/>
      <c r="S56" s="685">
        <f t="shared" si="4"/>
        <v>0</v>
      </c>
      <c r="T56" s="686" t="e">
        <f t="shared" si="2"/>
        <v>#DIV/0!</v>
      </c>
    </row>
    <row r="57" spans="1:20" ht="20.100000000000001" customHeight="1" x14ac:dyDescent="0.25">
      <c r="A57" s="158" t="s">
        <v>357</v>
      </c>
      <c r="B57" s="361" t="str">
        <f>[1]Arkusz1!H52</f>
        <v>Podatek dochodowy</v>
      </c>
      <c r="C57" s="260"/>
      <c r="D57" s="260"/>
      <c r="E57" s="426" t="e">
        <f t="shared" si="3"/>
        <v>#DIV/0!</v>
      </c>
      <c r="F57" s="47">
        <f t="shared" ref="F57:N57" si="29">IF(F56&gt;0,$E$2*F56,0)</f>
        <v>0</v>
      </c>
      <c r="G57" s="47">
        <f t="shared" si="29"/>
        <v>0</v>
      </c>
      <c r="H57" s="47">
        <f t="shared" si="29"/>
        <v>0</v>
      </c>
      <c r="I57" s="47">
        <f t="shared" si="29"/>
        <v>0</v>
      </c>
      <c r="J57" s="47">
        <f t="shared" si="29"/>
        <v>0</v>
      </c>
      <c r="K57" s="47">
        <f t="shared" si="29"/>
        <v>0</v>
      </c>
      <c r="L57" s="47">
        <f t="shared" si="29"/>
        <v>0</v>
      </c>
      <c r="M57" s="47">
        <f t="shared" si="29"/>
        <v>0</v>
      </c>
      <c r="N57" s="47">
        <f t="shared" si="29"/>
        <v>0</v>
      </c>
      <c r="O57" s="259"/>
      <c r="P57" s="259"/>
      <c r="Q57" s="260"/>
      <c r="R57" s="316" t="s">
        <v>340</v>
      </c>
      <c r="S57" s="452">
        <f t="shared" si="4"/>
        <v>0</v>
      </c>
      <c r="T57" s="426" t="e">
        <f t="shared" si="2"/>
        <v>#DIV/0!</v>
      </c>
    </row>
    <row r="58" spans="1:20" ht="28.5" hidden="1" x14ac:dyDescent="0.25">
      <c r="A58" s="158" t="s">
        <v>34</v>
      </c>
      <c r="B58" s="375" t="str">
        <f>[1]Arkusz1!H53</f>
        <v>Pozostałe obowiązkowe zmniejszenia zysku (zwiększenia straty)</v>
      </c>
      <c r="C58" s="391"/>
      <c r="D58" s="391"/>
      <c r="E58" s="426" t="e">
        <f t="shared" si="3"/>
        <v>#DIV/0!</v>
      </c>
      <c r="F58" s="47"/>
      <c r="G58" s="47"/>
      <c r="H58" s="47"/>
      <c r="I58" s="47"/>
      <c r="J58" s="48"/>
      <c r="K58" s="47"/>
      <c r="L58" s="47"/>
      <c r="M58" s="47"/>
      <c r="N58" s="47"/>
      <c r="Q58" s="391"/>
      <c r="S58" s="391">
        <f t="shared" si="4"/>
        <v>0</v>
      </c>
      <c r="T58" s="426" t="e">
        <f t="shared" si="2"/>
        <v>#DIV/0!</v>
      </c>
    </row>
    <row r="59" spans="1:20" ht="20.100000000000001" customHeight="1" x14ac:dyDescent="0.25">
      <c r="A59" s="683" t="s">
        <v>34</v>
      </c>
      <c r="B59" s="684" t="str">
        <f>[1]Arkusz1!H54</f>
        <v>Zysk (strata) netto (K-L-M)</v>
      </c>
      <c r="C59" s="685">
        <f t="shared" ref="C59" si="30">SUM(C56,-C57,-C58)</f>
        <v>0</v>
      </c>
      <c r="D59" s="685">
        <f t="shared" ref="D59:N59" si="31">SUM(D56,-D57,-D58)</f>
        <v>0</v>
      </c>
      <c r="E59" s="686" t="e">
        <f t="shared" si="3"/>
        <v>#DIV/0!</v>
      </c>
      <c r="F59" s="685">
        <f>SUM(F56,-F57,-F58)</f>
        <v>0</v>
      </c>
      <c r="G59" s="685">
        <f t="shared" si="31"/>
        <v>0</v>
      </c>
      <c r="H59" s="685">
        <f t="shared" si="31"/>
        <v>0</v>
      </c>
      <c r="I59" s="685">
        <f t="shared" si="31"/>
        <v>0</v>
      </c>
      <c r="J59" s="687">
        <f t="shared" si="31"/>
        <v>0</v>
      </c>
      <c r="K59" s="685">
        <f t="shared" si="31"/>
        <v>0</v>
      </c>
      <c r="L59" s="685">
        <f t="shared" si="31"/>
        <v>0</v>
      </c>
      <c r="M59" s="685">
        <f t="shared" si="31"/>
        <v>0</v>
      </c>
      <c r="N59" s="685">
        <f t="shared" si="31"/>
        <v>0</v>
      </c>
      <c r="O59" s="689"/>
      <c r="P59" s="689"/>
      <c r="Q59" s="685">
        <f t="shared" ref="Q59" si="32">SUM(Q56,-Q57,-Q58)</f>
        <v>0</v>
      </c>
      <c r="S59" s="685">
        <f t="shared" si="4"/>
        <v>0</v>
      </c>
      <c r="T59" s="686" t="e">
        <f t="shared" si="2"/>
        <v>#DIV/0!</v>
      </c>
    </row>
    <row r="60" spans="1:20" x14ac:dyDescent="0.25">
      <c r="A60" s="392"/>
    </row>
    <row r="61" spans="1:20" x14ac:dyDescent="0.25">
      <c r="A61" s="396"/>
      <c r="B61" s="691" t="s">
        <v>506</v>
      </c>
    </row>
    <row r="62" spans="1:20" x14ac:dyDescent="0.25">
      <c r="A62" s="396"/>
      <c r="B62" s="692" t="s">
        <v>507</v>
      </c>
    </row>
    <row r="64" spans="1:20" ht="36" customHeight="1" x14ac:dyDescent="0.25">
      <c r="A64" s="801"/>
      <c r="B64" s="801"/>
      <c r="C64" s="801"/>
      <c r="D64" s="801"/>
      <c r="E64" s="801"/>
      <c r="F64" s="801"/>
      <c r="G64" s="801"/>
      <c r="H64" s="801"/>
      <c r="I64" s="801"/>
      <c r="J64" s="801"/>
      <c r="K64" s="801"/>
      <c r="L64" s="801"/>
      <c r="M64" s="801"/>
      <c r="N64" s="801"/>
      <c r="O64" s="801"/>
      <c r="P64" s="801"/>
      <c r="Q64" s="801"/>
    </row>
    <row r="65" spans="2:17" x14ac:dyDescent="0.25">
      <c r="B65" s="535"/>
      <c r="C65" s="536"/>
      <c r="D65" s="536"/>
      <c r="E65" s="536"/>
      <c r="F65" s="536"/>
      <c r="G65" s="536"/>
      <c r="H65" s="536"/>
      <c r="I65" s="536"/>
      <c r="J65" s="536"/>
      <c r="K65" s="536"/>
      <c r="L65" s="536"/>
      <c r="M65" s="536"/>
      <c r="N65" s="533"/>
      <c r="O65" s="536"/>
      <c r="P65" s="536"/>
      <c r="Q65" s="488"/>
    </row>
    <row r="66" spans="2:17" x14ac:dyDescent="0.25">
      <c r="B66" s="538"/>
      <c r="C66" s="537"/>
      <c r="D66" s="537"/>
      <c r="E66" s="536"/>
      <c r="F66" s="536"/>
      <c r="G66" s="536"/>
      <c r="H66" s="536"/>
      <c r="I66" s="536"/>
      <c r="J66" s="536"/>
      <c r="K66" s="536"/>
      <c r="L66" s="536"/>
      <c r="M66" s="536"/>
      <c r="N66" s="536"/>
      <c r="O66" s="536"/>
      <c r="P66" s="533"/>
      <c r="Q66" s="488"/>
    </row>
    <row r="67" spans="2:17" x14ac:dyDescent="0.25">
      <c r="B67" s="534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2:17" ht="38.25" x14ac:dyDescent="0.25">
      <c r="B68" s="531"/>
      <c r="C68"/>
      <c r="D68"/>
      <c r="E68"/>
      <c r="F68"/>
      <c r="G68"/>
      <c r="H68"/>
      <c r="I68"/>
      <c r="J68"/>
      <c r="K68"/>
      <c r="L68"/>
      <c r="M68"/>
      <c r="N68" s="531" t="s">
        <v>403</v>
      </c>
      <c r="O68"/>
      <c r="P68"/>
    </row>
    <row r="69" spans="2:17" ht="21" x14ac:dyDescent="0.25">
      <c r="B69" s="533"/>
      <c r="C69"/>
      <c r="D69"/>
      <c r="E69"/>
      <c r="F69"/>
      <c r="G69"/>
      <c r="H69"/>
      <c r="I69"/>
      <c r="J69"/>
      <c r="K69"/>
      <c r="L69"/>
      <c r="M69"/>
      <c r="N69"/>
      <c r="O69"/>
      <c r="P69" s="533" t="s">
        <v>404</v>
      </c>
    </row>
    <row r="70" spans="2:17" x14ac:dyDescent="0.25">
      <c r="B70" s="534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</sheetData>
  <sheetProtection sheet="1" objects="1" scenarios="1"/>
  <mergeCells count="1">
    <mergeCell ref="A64:Q6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43"/>
  <sheetViews>
    <sheetView showGridLines="0" topLeftCell="A5" zoomScale="102" zoomScaleNormal="102" zoomScaleSheetLayoutView="100" workbookViewId="0">
      <selection activeCell="E118" sqref="E118"/>
    </sheetView>
  </sheetViews>
  <sheetFormatPr defaultColWidth="9.140625" defaultRowHeight="15" x14ac:dyDescent="0.25"/>
  <cols>
    <col min="1" max="1" width="2.28515625" style="54" customWidth="1"/>
    <col min="2" max="2" width="41.42578125" style="54" bestFit="1" customWidth="1"/>
    <col min="3" max="3" width="15.28515625" style="54" customWidth="1"/>
    <col min="4" max="4" width="13.7109375" style="54" customWidth="1"/>
    <col min="5" max="6" width="12.7109375" style="54" customWidth="1"/>
    <col min="7" max="7" width="12.85546875" style="54" hidden="1" customWidth="1"/>
    <col min="8" max="11" width="12.42578125" style="54" hidden="1" customWidth="1"/>
    <col min="12" max="12" width="13.42578125" style="54" hidden="1" customWidth="1"/>
    <col min="13" max="13" width="15.42578125" style="54" customWidth="1"/>
    <col min="14" max="16384" width="9.140625" style="54"/>
  </cols>
  <sheetData>
    <row r="1" spans="1:14" ht="81" hidden="1" customHeight="1" thickBot="1" x14ac:dyDescent="0.3">
      <c r="B1" s="532"/>
    </row>
    <row r="2" spans="1:14" ht="26.25" x14ac:dyDescent="0.25">
      <c r="A2" s="493"/>
      <c r="B2" s="802" t="s">
        <v>402</v>
      </c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804"/>
    </row>
    <row r="3" spans="1:14" ht="12" customHeight="1" x14ac:dyDescent="0.25">
      <c r="A3" s="494"/>
      <c r="B3" s="377"/>
      <c r="C3" s="11"/>
      <c r="D3" s="11"/>
      <c r="E3" s="11"/>
      <c r="F3" s="11"/>
      <c r="G3" s="11"/>
      <c r="H3" s="11"/>
      <c r="I3" s="11"/>
      <c r="J3" s="11"/>
      <c r="K3" s="11"/>
      <c r="L3" s="346"/>
      <c r="M3" s="495"/>
    </row>
    <row r="4" spans="1:14" ht="12" customHeight="1" thickBot="1" x14ac:dyDescent="0.3">
      <c r="A4" s="494"/>
      <c r="B4" s="377"/>
      <c r="C4" s="11"/>
      <c r="D4" s="11"/>
      <c r="E4" s="11"/>
      <c r="F4" s="11"/>
      <c r="G4" s="11"/>
      <c r="H4" s="11"/>
      <c r="I4" s="11"/>
      <c r="J4" s="11"/>
      <c r="K4" s="11"/>
      <c r="L4" s="346"/>
      <c r="M4" s="495"/>
    </row>
    <row r="5" spans="1:14" ht="15.75" thickBot="1" x14ac:dyDescent="0.3">
      <c r="A5" s="496"/>
      <c r="B5" s="378" t="str">
        <f>[1]Arkusz1!B4</f>
        <v>TREŚĆ</v>
      </c>
      <c r="C5" s="349">
        <f>KPIR!T6</f>
        <v>2024</v>
      </c>
      <c r="D5" s="349">
        <f>C4:C5+1</f>
        <v>2025</v>
      </c>
      <c r="E5" s="349">
        <f t="shared" ref="E5:F5" si="0">D4:D5+1</f>
        <v>2026</v>
      </c>
      <c r="F5" s="349">
        <f t="shared" si="0"/>
        <v>2027</v>
      </c>
      <c r="G5" s="349" t="s">
        <v>59</v>
      </c>
      <c r="H5" s="349" t="s">
        <v>60</v>
      </c>
      <c r="I5" s="349" t="s">
        <v>301</v>
      </c>
      <c r="J5" s="349" t="s">
        <v>302</v>
      </c>
      <c r="K5" s="350" t="s">
        <v>303</v>
      </c>
      <c r="L5" s="351" t="s">
        <v>304</v>
      </c>
      <c r="M5" s="351" t="s">
        <v>360</v>
      </c>
    </row>
    <row r="6" spans="1:14" ht="15.75" thickBot="1" x14ac:dyDescent="0.3">
      <c r="A6" s="693" t="s">
        <v>18</v>
      </c>
      <c r="B6" s="694" t="str">
        <f>[1]Arkusz1!B6</f>
        <v>AKTYWA TRWAŁE</v>
      </c>
      <c r="C6" s="695">
        <f>SUM(C7,C12,C21,C24,C39)</f>
        <v>0</v>
      </c>
      <c r="D6" s="695">
        <f t="shared" ref="D6:K6" si="1">SUM(D7,D12,D21,D24,D39)</f>
        <v>0</v>
      </c>
      <c r="E6" s="695">
        <f t="shared" si="1"/>
        <v>0</v>
      </c>
      <c r="F6" s="695">
        <f t="shared" si="1"/>
        <v>0</v>
      </c>
      <c r="G6" s="695">
        <f t="shared" si="1"/>
        <v>0</v>
      </c>
      <c r="H6" s="695">
        <f t="shared" si="1"/>
        <v>0</v>
      </c>
      <c r="I6" s="695">
        <f t="shared" si="1"/>
        <v>0</v>
      </c>
      <c r="J6" s="695">
        <f t="shared" si="1"/>
        <v>0</v>
      </c>
      <c r="K6" s="696">
        <f t="shared" si="1"/>
        <v>0</v>
      </c>
      <c r="L6" s="695">
        <f t="shared" ref="L6" si="2">SUM(L7,L12,L21,L24,L39)</f>
        <v>0</v>
      </c>
      <c r="M6" s="697">
        <f>SUM(M7,M12,M21,M24,M39)</f>
        <v>0</v>
      </c>
    </row>
    <row r="7" spans="1:14" x14ac:dyDescent="0.25">
      <c r="A7" s="497" t="s">
        <v>19</v>
      </c>
      <c r="B7" s="406" t="s">
        <v>282</v>
      </c>
      <c r="C7" s="483">
        <f>'Parametry nakładów i pożyczki'!C32</f>
        <v>0</v>
      </c>
      <c r="D7" s="454">
        <f>C7+'Parametry nakładów i pożyczki'!C3-'Parametry nakładów i pożyczki'!D42</f>
        <v>0</v>
      </c>
      <c r="E7" s="454">
        <f>D7-'Parametry nakładów i pożyczki'!E42</f>
        <v>0</v>
      </c>
      <c r="F7" s="454">
        <f>E7-'Parametry nakładów i pożyczki'!F42</f>
        <v>0</v>
      </c>
      <c r="G7" s="454">
        <f>F7-'Parametry nakładów i pożyczki'!G42</f>
        <v>0</v>
      </c>
      <c r="H7" s="454">
        <f>G7-'Parametry nakładów i pożyczki'!H42</f>
        <v>0</v>
      </c>
      <c r="I7" s="454">
        <f>H7-'Parametry nakładów i pożyczki'!I42</f>
        <v>0</v>
      </c>
      <c r="J7" s="454">
        <f>I7-'Parametry nakładów i pożyczki'!J42</f>
        <v>0</v>
      </c>
      <c r="K7" s="454">
        <f>J7-'Parametry nakładów i pożyczki'!K42</f>
        <v>0</v>
      </c>
      <c r="L7" s="454">
        <f>K7-'Parametry nakładów i pożyczki'!L42</f>
        <v>0</v>
      </c>
      <c r="M7" s="669">
        <f>'załącznik nr 1 dla KPiR'!D71</f>
        <v>0</v>
      </c>
      <c r="N7" s="316" t="s">
        <v>364</v>
      </c>
    </row>
    <row r="8" spans="1:14" hidden="1" x14ac:dyDescent="0.25">
      <c r="A8" s="498"/>
      <c r="B8" s="408"/>
      <c r="C8" s="455"/>
      <c r="D8" s="455"/>
      <c r="E8" s="455"/>
      <c r="F8" s="455"/>
      <c r="G8" s="455"/>
      <c r="H8" s="455"/>
      <c r="I8" s="455"/>
      <c r="J8" s="455"/>
      <c r="K8" s="456"/>
      <c r="L8" s="455"/>
      <c r="M8" s="670"/>
      <c r="N8" s="316" t="s">
        <v>340</v>
      </c>
    </row>
    <row r="9" spans="1:14" hidden="1" x14ac:dyDescent="0.25">
      <c r="A9" s="498"/>
      <c r="B9" s="408"/>
      <c r="C9" s="455"/>
      <c r="D9" s="455"/>
      <c r="E9" s="455"/>
      <c r="F9" s="455"/>
      <c r="G9" s="455"/>
      <c r="H9" s="455"/>
      <c r="I9" s="455"/>
      <c r="J9" s="455"/>
      <c r="K9" s="456"/>
      <c r="L9" s="455"/>
      <c r="M9" s="670"/>
      <c r="N9" s="316" t="s">
        <v>340</v>
      </c>
    </row>
    <row r="10" spans="1:14" hidden="1" x14ac:dyDescent="0.25">
      <c r="A10" s="498"/>
      <c r="B10" s="408"/>
      <c r="C10" s="455"/>
      <c r="D10" s="455"/>
      <c r="E10" s="455"/>
      <c r="F10" s="455"/>
      <c r="G10" s="455"/>
      <c r="H10" s="455"/>
      <c r="I10" s="455"/>
      <c r="J10" s="455"/>
      <c r="K10" s="456"/>
      <c r="L10" s="455"/>
      <c r="M10" s="670"/>
      <c r="N10" s="316" t="s">
        <v>340</v>
      </c>
    </row>
    <row r="11" spans="1:14" hidden="1" x14ac:dyDescent="0.25">
      <c r="A11" s="498"/>
      <c r="B11" s="408"/>
      <c r="C11" s="455"/>
      <c r="D11" s="455"/>
      <c r="E11" s="455"/>
      <c r="F11" s="455"/>
      <c r="G11" s="455"/>
      <c r="H11" s="455"/>
      <c r="I11" s="455"/>
      <c r="J11" s="455"/>
      <c r="K11" s="456"/>
      <c r="L11" s="455"/>
      <c r="M11" s="670"/>
      <c r="N11" s="316" t="s">
        <v>340</v>
      </c>
    </row>
    <row r="12" spans="1:14" x14ac:dyDescent="0.25">
      <c r="A12" s="497" t="s">
        <v>20</v>
      </c>
      <c r="B12" s="406" t="s">
        <v>330</v>
      </c>
      <c r="C12" s="484">
        <f>SUM(C13,C19,C20)</f>
        <v>0</v>
      </c>
      <c r="D12" s="454">
        <f t="shared" ref="D12:K12" si="3">SUM(D13,D19,D20)</f>
        <v>0</v>
      </c>
      <c r="E12" s="454">
        <f t="shared" si="3"/>
        <v>0</v>
      </c>
      <c r="F12" s="454">
        <f t="shared" si="3"/>
        <v>0</v>
      </c>
      <c r="G12" s="454">
        <f t="shared" si="3"/>
        <v>0</v>
      </c>
      <c r="H12" s="454">
        <f t="shared" si="3"/>
        <v>0</v>
      </c>
      <c r="I12" s="454">
        <f t="shared" si="3"/>
        <v>0</v>
      </c>
      <c r="J12" s="454">
        <f t="shared" si="3"/>
        <v>0</v>
      </c>
      <c r="K12" s="454">
        <f t="shared" si="3"/>
        <v>0</v>
      </c>
      <c r="L12" s="454">
        <f t="shared" ref="L12" si="4">SUM(L13,L19,L20)</f>
        <v>0</v>
      </c>
      <c r="M12" s="671">
        <f>M13</f>
        <v>0</v>
      </c>
      <c r="N12" s="316" t="s">
        <v>364</v>
      </c>
    </row>
    <row r="13" spans="1:14" hidden="1" x14ac:dyDescent="0.25">
      <c r="A13" s="498" t="s">
        <v>35</v>
      </c>
      <c r="B13" s="408" t="str">
        <f>[1]Arkusz1!B13</f>
        <v>Środki trwałe</v>
      </c>
      <c r="C13" s="57">
        <f>SUM(C14:C18)</f>
        <v>0</v>
      </c>
      <c r="D13" s="457">
        <f t="shared" ref="D13:K13" si="5">SUM(D14:D18)</f>
        <v>0</v>
      </c>
      <c r="E13" s="457">
        <f t="shared" si="5"/>
        <v>0</v>
      </c>
      <c r="F13" s="457">
        <f t="shared" si="5"/>
        <v>0</v>
      </c>
      <c r="G13" s="457">
        <f t="shared" si="5"/>
        <v>0</v>
      </c>
      <c r="H13" s="457">
        <f t="shared" si="5"/>
        <v>0</v>
      </c>
      <c r="I13" s="457">
        <f t="shared" si="5"/>
        <v>0</v>
      </c>
      <c r="J13" s="457">
        <f t="shared" si="5"/>
        <v>0</v>
      </c>
      <c r="K13" s="458">
        <f t="shared" si="5"/>
        <v>0</v>
      </c>
      <c r="L13" s="457">
        <f t="shared" ref="L13" si="6">SUM(L14:L18)</f>
        <v>0</v>
      </c>
      <c r="M13" s="501">
        <f>SUM(M14:M18)</f>
        <v>0</v>
      </c>
      <c r="N13" s="316" t="s">
        <v>340</v>
      </c>
    </row>
    <row r="14" spans="1:14" ht="24" hidden="1" x14ac:dyDescent="0.25">
      <c r="A14" s="498" t="s">
        <v>37</v>
      </c>
      <c r="B14" s="408" t="str">
        <f>[1]Arkusz1!B14</f>
        <v>grunty (w tym prawo użytkowania wieczystego gruntu)</v>
      </c>
      <c r="C14" s="114">
        <f>'Parametry nakładów i pożyczki'!C33</f>
        <v>0</v>
      </c>
      <c r="D14" s="455">
        <f>C14+'Parametry nakładów i pożyczki'!C6</f>
        <v>0</v>
      </c>
      <c r="E14" s="455">
        <f>D14</f>
        <v>0</v>
      </c>
      <c r="F14" s="455">
        <f t="shared" ref="F14:L14" si="7">E14</f>
        <v>0</v>
      </c>
      <c r="G14" s="455">
        <f t="shared" si="7"/>
        <v>0</v>
      </c>
      <c r="H14" s="455">
        <f t="shared" si="7"/>
        <v>0</v>
      </c>
      <c r="I14" s="455">
        <f t="shared" si="7"/>
        <v>0</v>
      </c>
      <c r="J14" s="455">
        <f t="shared" si="7"/>
        <v>0</v>
      </c>
      <c r="K14" s="455">
        <f t="shared" si="7"/>
        <v>0</v>
      </c>
      <c r="L14" s="455">
        <f t="shared" si="7"/>
        <v>0</v>
      </c>
      <c r="M14" s="502">
        <f>'załącznik nr 1 dla KPiR'!D72</f>
        <v>0</v>
      </c>
      <c r="N14" s="316" t="s">
        <v>340</v>
      </c>
    </row>
    <row r="15" spans="1:14" ht="24" hidden="1" x14ac:dyDescent="0.25">
      <c r="A15" s="498" t="s">
        <v>38</v>
      </c>
      <c r="B15" s="408" t="str">
        <f>[1]Arkusz1!B15</f>
        <v xml:space="preserve">budynki, lokale i obiekty inżynierii lądowej i wodnej </v>
      </c>
      <c r="C15" s="114">
        <f>'Parametry nakładów i pożyczki'!C34</f>
        <v>0</v>
      </c>
      <c r="D15" s="455">
        <f>'Parametry nakładów i pożyczki'!C34+'Parametry nakładów i pożyczki'!C9-'Parametry nakładów i pożyczki'!D44</f>
        <v>0</v>
      </c>
      <c r="E15" s="455">
        <f>D15-'Parametry nakładów i pożyczki'!E44</f>
        <v>0</v>
      </c>
      <c r="F15" s="455">
        <f>E15-'Parametry nakładów i pożyczki'!F44</f>
        <v>0</v>
      </c>
      <c r="G15" s="455">
        <f>F15-'Parametry nakładów i pożyczki'!G44</f>
        <v>0</v>
      </c>
      <c r="H15" s="455">
        <f>G15-'Parametry nakładów i pożyczki'!H44</f>
        <v>0</v>
      </c>
      <c r="I15" s="455">
        <f>H15-'Parametry nakładów i pożyczki'!I44</f>
        <v>0</v>
      </c>
      <c r="J15" s="455">
        <f>I15-'Parametry nakładów i pożyczki'!J44</f>
        <v>0</v>
      </c>
      <c r="K15" s="455">
        <f>J15-'Parametry nakładów i pożyczki'!K44</f>
        <v>0</v>
      </c>
      <c r="L15" s="455">
        <f>K15-'Parametry nakładów i pożyczki'!L44</f>
        <v>0</v>
      </c>
      <c r="M15" s="502">
        <f>'załącznik nr 1 dla KPiR'!D73</f>
        <v>0</v>
      </c>
      <c r="N15" s="316" t="s">
        <v>340</v>
      </c>
    </row>
    <row r="16" spans="1:14" hidden="1" x14ac:dyDescent="0.25">
      <c r="A16" s="498" t="s">
        <v>39</v>
      </c>
      <c r="B16" s="408" t="str">
        <f>[1]Arkusz1!B16</f>
        <v xml:space="preserve">urządzenia  techniczne i maszyny </v>
      </c>
      <c r="C16" s="114">
        <f>'Parametry nakładów i pożyczki'!C35</f>
        <v>0</v>
      </c>
      <c r="D16" s="455">
        <f>'Parametry nakładów i pożyczki'!C35+'Parametry nakładów i pożyczki'!C12-'Parametry nakładów i pożyczki'!D45</f>
        <v>0</v>
      </c>
      <c r="E16" s="455">
        <f>D16-'Parametry nakładów i pożyczki'!E45</f>
        <v>0</v>
      </c>
      <c r="F16" s="455">
        <f>E16-'Parametry nakładów i pożyczki'!F45</f>
        <v>0</v>
      </c>
      <c r="G16" s="455">
        <f>F16-'Parametry nakładów i pożyczki'!G45</f>
        <v>0</v>
      </c>
      <c r="H16" s="455">
        <f>G16-'Parametry nakładów i pożyczki'!H45</f>
        <v>0</v>
      </c>
      <c r="I16" s="455">
        <f>H16-'Parametry nakładów i pożyczki'!I45</f>
        <v>0</v>
      </c>
      <c r="J16" s="455">
        <f>I16-'Parametry nakładów i pożyczki'!J45</f>
        <v>0</v>
      </c>
      <c r="K16" s="455">
        <f>J16-'Parametry nakładów i pożyczki'!K45</f>
        <v>0</v>
      </c>
      <c r="L16" s="455">
        <f>K16-'Parametry nakładów i pożyczki'!L45</f>
        <v>0</v>
      </c>
      <c r="M16" s="502">
        <f>'załącznik nr 1 dla KPiR'!D74</f>
        <v>0</v>
      </c>
      <c r="N16" s="316" t="s">
        <v>340</v>
      </c>
    </row>
    <row r="17" spans="1:14" hidden="1" x14ac:dyDescent="0.25">
      <c r="A17" s="498" t="s">
        <v>40</v>
      </c>
      <c r="B17" s="408" t="str">
        <f>[1]Arkusz1!B17</f>
        <v>środki transportu</v>
      </c>
      <c r="C17" s="114">
        <f>'Parametry nakładów i pożyczki'!C36</f>
        <v>0</v>
      </c>
      <c r="D17" s="455">
        <f>'Parametry nakładów i pożyczki'!C16+'Parametry nakładów i pożyczki'!C36-'Parametry nakładów i pożyczki'!D46</f>
        <v>0</v>
      </c>
      <c r="E17" s="455">
        <f>D17-'Parametry nakładów i pożyczki'!E46</f>
        <v>0</v>
      </c>
      <c r="F17" s="455">
        <f>E17-'Parametry nakładów i pożyczki'!F46</f>
        <v>0</v>
      </c>
      <c r="G17" s="455">
        <f>F17-'Parametry nakładów i pożyczki'!G46</f>
        <v>0</v>
      </c>
      <c r="H17" s="455">
        <f>G17-'Parametry nakładów i pożyczki'!H46</f>
        <v>0</v>
      </c>
      <c r="I17" s="455">
        <f>H17-'Parametry nakładów i pożyczki'!I46</f>
        <v>0</v>
      </c>
      <c r="J17" s="455">
        <f>I17-'Parametry nakładów i pożyczki'!J46</f>
        <v>0</v>
      </c>
      <c r="K17" s="455">
        <f>J17-'Parametry nakładów i pożyczki'!K46</f>
        <v>0</v>
      </c>
      <c r="L17" s="455">
        <f>K17-'Parametry nakładów i pożyczki'!L46</f>
        <v>0</v>
      </c>
      <c r="M17" s="502">
        <f>'załącznik nr 1 dla KPiR'!D75</f>
        <v>0</v>
      </c>
      <c r="N17" s="316" t="s">
        <v>340</v>
      </c>
    </row>
    <row r="18" spans="1:14" hidden="1" x14ac:dyDescent="0.25">
      <c r="A18" s="498" t="s">
        <v>41</v>
      </c>
      <c r="B18" s="408" t="str">
        <f>[1]Arkusz1!B18</f>
        <v>inne środki trwałe</v>
      </c>
      <c r="C18" s="114">
        <f>'Parametry nakładów i pożyczki'!C37</f>
        <v>0</v>
      </c>
      <c r="D18" s="455">
        <f>'Parametry nakładów i pożyczki'!C37+'Parametry nakładów i pożyczki'!C20-'Parametry nakładów i pożyczki'!D47</f>
        <v>0</v>
      </c>
      <c r="E18" s="455">
        <f>D18-'Parametry nakładów i pożyczki'!E47</f>
        <v>0</v>
      </c>
      <c r="F18" s="455">
        <f>E18-'Parametry nakładów i pożyczki'!F47</f>
        <v>0</v>
      </c>
      <c r="G18" s="455">
        <f>F18-'Parametry nakładów i pożyczki'!G47</f>
        <v>0</v>
      </c>
      <c r="H18" s="455">
        <f>G18-'Parametry nakładów i pożyczki'!H47</f>
        <v>0</v>
      </c>
      <c r="I18" s="455">
        <f>H18-'Parametry nakładów i pożyczki'!I47</f>
        <v>0</v>
      </c>
      <c r="J18" s="455">
        <f>I18-'Parametry nakładów i pożyczki'!J47</f>
        <v>0</v>
      </c>
      <c r="K18" s="455">
        <f>J18-'Parametry nakładów i pożyczki'!K47</f>
        <v>0</v>
      </c>
      <c r="L18" s="455">
        <f>K18-'Parametry nakładów i pożyczki'!L47</f>
        <v>0</v>
      </c>
      <c r="M18" s="502">
        <f>'załącznik nr 1 dla KPiR'!D76</f>
        <v>0</v>
      </c>
      <c r="N18" s="316" t="s">
        <v>340</v>
      </c>
    </row>
    <row r="19" spans="1:14" hidden="1" x14ac:dyDescent="0.25">
      <c r="A19" s="498"/>
      <c r="B19" s="408"/>
      <c r="C19" s="12"/>
      <c r="D19" s="455"/>
      <c r="E19" s="455"/>
      <c r="F19" s="455"/>
      <c r="G19" s="455"/>
      <c r="H19" s="455"/>
      <c r="I19" s="455"/>
      <c r="J19" s="455"/>
      <c r="K19" s="456"/>
      <c r="L19" s="455"/>
      <c r="M19" s="503"/>
      <c r="N19" s="316" t="s">
        <v>340</v>
      </c>
    </row>
    <row r="20" spans="1:14" hidden="1" x14ac:dyDescent="0.25">
      <c r="A20" s="498"/>
      <c r="B20" s="408"/>
      <c r="C20" s="261"/>
      <c r="D20" s="455"/>
      <c r="E20" s="455"/>
      <c r="F20" s="455"/>
      <c r="G20" s="455"/>
      <c r="H20" s="455"/>
      <c r="I20" s="455"/>
      <c r="J20" s="455"/>
      <c r="K20" s="456"/>
      <c r="L20" s="455"/>
      <c r="M20" s="504"/>
      <c r="N20" s="316" t="s">
        <v>340</v>
      </c>
    </row>
    <row r="21" spans="1:14" x14ac:dyDescent="0.25">
      <c r="A21" s="497" t="s">
        <v>21</v>
      </c>
      <c r="B21" s="406" t="s">
        <v>338</v>
      </c>
      <c r="C21" s="112"/>
      <c r="D21" s="454">
        <f>C21</f>
        <v>0</v>
      </c>
      <c r="E21" s="454">
        <f t="shared" ref="E21:L21" si="8">D21</f>
        <v>0</v>
      </c>
      <c r="F21" s="454">
        <f t="shared" si="8"/>
        <v>0</v>
      </c>
      <c r="G21" s="454">
        <f t="shared" si="8"/>
        <v>0</v>
      </c>
      <c r="H21" s="454">
        <f t="shared" si="8"/>
        <v>0</v>
      </c>
      <c r="I21" s="454">
        <f t="shared" si="8"/>
        <v>0</v>
      </c>
      <c r="J21" s="454">
        <f t="shared" si="8"/>
        <v>0</v>
      </c>
      <c r="K21" s="454">
        <f t="shared" si="8"/>
        <v>0</v>
      </c>
      <c r="L21" s="454">
        <f t="shared" si="8"/>
        <v>0</v>
      </c>
      <c r="M21" s="500"/>
      <c r="N21" s="316" t="s">
        <v>340</v>
      </c>
    </row>
    <row r="22" spans="1:14" hidden="1" x14ac:dyDescent="0.25">
      <c r="A22" s="498"/>
      <c r="B22" s="408"/>
      <c r="C22" s="51"/>
      <c r="D22" s="454">
        <f t="shared" ref="D22:L22" si="9">C22</f>
        <v>0</v>
      </c>
      <c r="E22" s="454">
        <f t="shared" si="9"/>
        <v>0</v>
      </c>
      <c r="F22" s="454">
        <f t="shared" si="9"/>
        <v>0</v>
      </c>
      <c r="G22" s="454">
        <f t="shared" si="9"/>
        <v>0</v>
      </c>
      <c r="H22" s="454">
        <f t="shared" si="9"/>
        <v>0</v>
      </c>
      <c r="I22" s="454">
        <f t="shared" si="9"/>
        <v>0</v>
      </c>
      <c r="J22" s="454">
        <f t="shared" si="9"/>
        <v>0</v>
      </c>
      <c r="K22" s="454">
        <f t="shared" si="9"/>
        <v>0</v>
      </c>
      <c r="L22" s="454">
        <f t="shared" si="9"/>
        <v>0</v>
      </c>
      <c r="M22" s="499"/>
      <c r="N22" s="316" t="s">
        <v>340</v>
      </c>
    </row>
    <row r="23" spans="1:14" hidden="1" x14ac:dyDescent="0.25">
      <c r="A23" s="498"/>
      <c r="B23" s="408"/>
      <c r="C23" s="51"/>
      <c r="D23" s="454">
        <f t="shared" ref="D23:L23" si="10">C23</f>
        <v>0</v>
      </c>
      <c r="E23" s="454">
        <f t="shared" si="10"/>
        <v>0</v>
      </c>
      <c r="F23" s="454">
        <f t="shared" si="10"/>
        <v>0</v>
      </c>
      <c r="G23" s="454">
        <f t="shared" si="10"/>
        <v>0</v>
      </c>
      <c r="H23" s="454">
        <f t="shared" si="10"/>
        <v>0</v>
      </c>
      <c r="I23" s="454">
        <f t="shared" si="10"/>
        <v>0</v>
      </c>
      <c r="J23" s="454">
        <f t="shared" si="10"/>
        <v>0</v>
      </c>
      <c r="K23" s="454">
        <f t="shared" si="10"/>
        <v>0</v>
      </c>
      <c r="L23" s="454">
        <f t="shared" si="10"/>
        <v>0</v>
      </c>
      <c r="M23" s="499"/>
      <c r="N23" s="316" t="s">
        <v>340</v>
      </c>
    </row>
    <row r="24" spans="1:14" ht="15.75" thickBot="1" x14ac:dyDescent="0.3">
      <c r="A24" s="497" t="s">
        <v>22</v>
      </c>
      <c r="B24" s="406" t="s">
        <v>329</v>
      </c>
      <c r="C24" s="112"/>
      <c r="D24" s="454">
        <f t="shared" ref="D24:L24" si="11">C24</f>
        <v>0</v>
      </c>
      <c r="E24" s="454">
        <f t="shared" si="11"/>
        <v>0</v>
      </c>
      <c r="F24" s="454">
        <f t="shared" si="11"/>
        <v>0</v>
      </c>
      <c r="G24" s="454">
        <f t="shared" si="11"/>
        <v>0</v>
      </c>
      <c r="H24" s="454">
        <f t="shared" si="11"/>
        <v>0</v>
      </c>
      <c r="I24" s="454">
        <f t="shared" si="11"/>
        <v>0</v>
      </c>
      <c r="J24" s="454">
        <f t="shared" si="11"/>
        <v>0</v>
      </c>
      <c r="K24" s="454">
        <f t="shared" si="11"/>
        <v>0</v>
      </c>
      <c r="L24" s="454">
        <f t="shared" si="11"/>
        <v>0</v>
      </c>
      <c r="M24" s="500"/>
      <c r="N24" s="316" t="s">
        <v>340</v>
      </c>
    </row>
    <row r="25" spans="1:14" hidden="1" x14ac:dyDescent="0.25">
      <c r="A25" s="505"/>
      <c r="B25" s="376"/>
      <c r="C25" s="12"/>
      <c r="D25" s="37">
        <f t="shared" ref="D25:L25" si="12">C25</f>
        <v>0</v>
      </c>
      <c r="E25" s="37">
        <f t="shared" si="12"/>
        <v>0</v>
      </c>
      <c r="F25" s="37">
        <f t="shared" si="12"/>
        <v>0</v>
      </c>
      <c r="G25" s="37">
        <f t="shared" si="12"/>
        <v>0</v>
      </c>
      <c r="H25" s="37">
        <f t="shared" si="12"/>
        <v>0</v>
      </c>
      <c r="I25" s="37">
        <f t="shared" si="12"/>
        <v>0</v>
      </c>
      <c r="J25" s="37">
        <f t="shared" si="12"/>
        <v>0</v>
      </c>
      <c r="K25" s="37">
        <f t="shared" si="12"/>
        <v>0</v>
      </c>
      <c r="L25" s="37">
        <f t="shared" si="12"/>
        <v>0</v>
      </c>
      <c r="M25" s="503"/>
      <c r="N25" s="316" t="s">
        <v>340</v>
      </c>
    </row>
    <row r="26" spans="1:14" hidden="1" x14ac:dyDescent="0.25">
      <c r="A26" s="505"/>
      <c r="B26" s="376"/>
      <c r="C26" s="12"/>
      <c r="D26" s="37">
        <f t="shared" ref="D26:L26" si="13">C26</f>
        <v>0</v>
      </c>
      <c r="E26" s="37">
        <f t="shared" si="13"/>
        <v>0</v>
      </c>
      <c r="F26" s="37">
        <f t="shared" si="13"/>
        <v>0</v>
      </c>
      <c r="G26" s="37">
        <f t="shared" si="13"/>
        <v>0</v>
      </c>
      <c r="H26" s="37">
        <f t="shared" si="13"/>
        <v>0</v>
      </c>
      <c r="I26" s="37">
        <f t="shared" si="13"/>
        <v>0</v>
      </c>
      <c r="J26" s="37">
        <f t="shared" si="13"/>
        <v>0</v>
      </c>
      <c r="K26" s="37">
        <f t="shared" si="13"/>
        <v>0</v>
      </c>
      <c r="L26" s="37">
        <f t="shared" si="13"/>
        <v>0</v>
      </c>
      <c r="M26" s="503"/>
      <c r="N26" s="316" t="s">
        <v>340</v>
      </c>
    </row>
    <row r="27" spans="1:14" hidden="1" x14ac:dyDescent="0.25">
      <c r="A27" s="505"/>
      <c r="B27" s="376"/>
      <c r="C27" s="37"/>
      <c r="D27" s="37">
        <f t="shared" ref="D27:L27" si="14">C27</f>
        <v>0</v>
      </c>
      <c r="E27" s="37">
        <f t="shared" si="14"/>
        <v>0</v>
      </c>
      <c r="F27" s="37">
        <f t="shared" si="14"/>
        <v>0</v>
      </c>
      <c r="G27" s="37">
        <f t="shared" si="14"/>
        <v>0</v>
      </c>
      <c r="H27" s="37">
        <f t="shared" si="14"/>
        <v>0</v>
      </c>
      <c r="I27" s="37">
        <f t="shared" si="14"/>
        <v>0</v>
      </c>
      <c r="J27" s="37">
        <f t="shared" si="14"/>
        <v>0</v>
      </c>
      <c r="K27" s="37">
        <f t="shared" si="14"/>
        <v>0</v>
      </c>
      <c r="L27" s="37">
        <f t="shared" si="14"/>
        <v>0</v>
      </c>
      <c r="M27" s="506"/>
      <c r="N27" s="316" t="s">
        <v>340</v>
      </c>
    </row>
    <row r="28" spans="1:14" hidden="1" x14ac:dyDescent="0.25">
      <c r="A28" s="505"/>
      <c r="B28" s="376"/>
      <c r="C28" s="37"/>
      <c r="D28" s="37">
        <f t="shared" ref="D28:L28" si="15">C28</f>
        <v>0</v>
      </c>
      <c r="E28" s="37">
        <f t="shared" si="15"/>
        <v>0</v>
      </c>
      <c r="F28" s="37">
        <f t="shared" si="15"/>
        <v>0</v>
      </c>
      <c r="G28" s="37">
        <f t="shared" si="15"/>
        <v>0</v>
      </c>
      <c r="H28" s="37">
        <f t="shared" si="15"/>
        <v>0</v>
      </c>
      <c r="I28" s="37">
        <f t="shared" si="15"/>
        <v>0</v>
      </c>
      <c r="J28" s="37">
        <f t="shared" si="15"/>
        <v>0</v>
      </c>
      <c r="K28" s="37">
        <f t="shared" si="15"/>
        <v>0</v>
      </c>
      <c r="L28" s="37">
        <f t="shared" si="15"/>
        <v>0</v>
      </c>
      <c r="M28" s="506"/>
      <c r="N28" s="316" t="s">
        <v>340</v>
      </c>
    </row>
    <row r="29" spans="1:14" hidden="1" x14ac:dyDescent="0.25">
      <c r="A29" s="505"/>
      <c r="B29" s="379"/>
      <c r="C29" s="12"/>
      <c r="D29" s="37">
        <f t="shared" ref="D29:L29" si="16">C29</f>
        <v>0</v>
      </c>
      <c r="E29" s="37">
        <f t="shared" si="16"/>
        <v>0</v>
      </c>
      <c r="F29" s="37">
        <f t="shared" si="16"/>
        <v>0</v>
      </c>
      <c r="G29" s="37">
        <f t="shared" si="16"/>
        <v>0</v>
      </c>
      <c r="H29" s="37">
        <f t="shared" si="16"/>
        <v>0</v>
      </c>
      <c r="I29" s="37">
        <f t="shared" si="16"/>
        <v>0</v>
      </c>
      <c r="J29" s="37">
        <f t="shared" si="16"/>
        <v>0</v>
      </c>
      <c r="K29" s="37">
        <f t="shared" si="16"/>
        <v>0</v>
      </c>
      <c r="L29" s="37">
        <f t="shared" si="16"/>
        <v>0</v>
      </c>
      <c r="M29" s="503"/>
      <c r="N29" s="316" t="s">
        <v>340</v>
      </c>
    </row>
    <row r="30" spans="1:14" hidden="1" x14ac:dyDescent="0.25">
      <c r="A30" s="505"/>
      <c r="B30" s="379"/>
      <c r="C30" s="12"/>
      <c r="D30" s="37">
        <f t="shared" ref="D30:L30" si="17">C30</f>
        <v>0</v>
      </c>
      <c r="E30" s="37">
        <f t="shared" si="17"/>
        <v>0</v>
      </c>
      <c r="F30" s="37">
        <f t="shared" si="17"/>
        <v>0</v>
      </c>
      <c r="G30" s="37">
        <f t="shared" si="17"/>
        <v>0</v>
      </c>
      <c r="H30" s="37">
        <f t="shared" si="17"/>
        <v>0</v>
      </c>
      <c r="I30" s="37">
        <f t="shared" si="17"/>
        <v>0</v>
      </c>
      <c r="J30" s="37">
        <f t="shared" si="17"/>
        <v>0</v>
      </c>
      <c r="K30" s="37">
        <f t="shared" si="17"/>
        <v>0</v>
      </c>
      <c r="L30" s="37">
        <f t="shared" si="17"/>
        <v>0</v>
      </c>
      <c r="M30" s="503"/>
      <c r="N30" s="316" t="s">
        <v>340</v>
      </c>
    </row>
    <row r="31" spans="1:14" hidden="1" x14ac:dyDescent="0.25">
      <c r="A31" s="505"/>
      <c r="B31" s="379"/>
      <c r="C31" s="12"/>
      <c r="D31" s="37">
        <f t="shared" ref="D31:L31" si="18">C31</f>
        <v>0</v>
      </c>
      <c r="E31" s="37">
        <f t="shared" si="18"/>
        <v>0</v>
      </c>
      <c r="F31" s="37">
        <f t="shared" si="18"/>
        <v>0</v>
      </c>
      <c r="G31" s="37">
        <f t="shared" si="18"/>
        <v>0</v>
      </c>
      <c r="H31" s="37">
        <f t="shared" si="18"/>
        <v>0</v>
      </c>
      <c r="I31" s="37">
        <f t="shared" si="18"/>
        <v>0</v>
      </c>
      <c r="J31" s="37">
        <f t="shared" si="18"/>
        <v>0</v>
      </c>
      <c r="K31" s="37">
        <f t="shared" si="18"/>
        <v>0</v>
      </c>
      <c r="L31" s="37">
        <f t="shared" si="18"/>
        <v>0</v>
      </c>
      <c r="M31" s="503"/>
      <c r="N31" s="316" t="s">
        <v>340</v>
      </c>
    </row>
    <row r="32" spans="1:14" hidden="1" x14ac:dyDescent="0.25">
      <c r="A32" s="505"/>
      <c r="B32" s="379"/>
      <c r="C32" s="12"/>
      <c r="D32" s="37">
        <f t="shared" ref="D32:L32" si="19">C32</f>
        <v>0</v>
      </c>
      <c r="E32" s="37">
        <f t="shared" si="19"/>
        <v>0</v>
      </c>
      <c r="F32" s="37">
        <f t="shared" si="19"/>
        <v>0</v>
      </c>
      <c r="G32" s="37">
        <f t="shared" si="19"/>
        <v>0</v>
      </c>
      <c r="H32" s="37">
        <f t="shared" si="19"/>
        <v>0</v>
      </c>
      <c r="I32" s="37">
        <f t="shared" si="19"/>
        <v>0</v>
      </c>
      <c r="J32" s="37">
        <f t="shared" si="19"/>
        <v>0</v>
      </c>
      <c r="K32" s="37">
        <f t="shared" si="19"/>
        <v>0</v>
      </c>
      <c r="L32" s="37">
        <f t="shared" si="19"/>
        <v>0</v>
      </c>
      <c r="M32" s="503"/>
      <c r="N32" s="316" t="s">
        <v>340</v>
      </c>
    </row>
    <row r="33" spans="1:14" hidden="1" x14ac:dyDescent="0.25">
      <c r="A33" s="505"/>
      <c r="B33" s="376"/>
      <c r="C33" s="37"/>
      <c r="D33" s="37">
        <f t="shared" ref="D33:L33" si="20">C33</f>
        <v>0</v>
      </c>
      <c r="E33" s="37">
        <f t="shared" si="20"/>
        <v>0</v>
      </c>
      <c r="F33" s="37">
        <f t="shared" si="20"/>
        <v>0</v>
      </c>
      <c r="G33" s="37">
        <f t="shared" si="20"/>
        <v>0</v>
      </c>
      <c r="H33" s="37">
        <f t="shared" si="20"/>
        <v>0</v>
      </c>
      <c r="I33" s="37">
        <f t="shared" si="20"/>
        <v>0</v>
      </c>
      <c r="J33" s="37">
        <f t="shared" si="20"/>
        <v>0</v>
      </c>
      <c r="K33" s="37">
        <f t="shared" si="20"/>
        <v>0</v>
      </c>
      <c r="L33" s="37">
        <f t="shared" si="20"/>
        <v>0</v>
      </c>
      <c r="M33" s="506"/>
      <c r="N33" s="316" t="s">
        <v>340</v>
      </c>
    </row>
    <row r="34" spans="1:14" hidden="1" x14ac:dyDescent="0.25">
      <c r="A34" s="505"/>
      <c r="B34" s="379"/>
      <c r="C34" s="12"/>
      <c r="D34" s="37">
        <f t="shared" ref="D34:L34" si="21">C34</f>
        <v>0</v>
      </c>
      <c r="E34" s="37">
        <f t="shared" si="21"/>
        <v>0</v>
      </c>
      <c r="F34" s="37">
        <f t="shared" si="21"/>
        <v>0</v>
      </c>
      <c r="G34" s="37">
        <f t="shared" si="21"/>
        <v>0</v>
      </c>
      <c r="H34" s="37">
        <f t="shared" si="21"/>
        <v>0</v>
      </c>
      <c r="I34" s="37">
        <f t="shared" si="21"/>
        <v>0</v>
      </c>
      <c r="J34" s="37">
        <f t="shared" si="21"/>
        <v>0</v>
      </c>
      <c r="K34" s="37">
        <f t="shared" si="21"/>
        <v>0</v>
      </c>
      <c r="L34" s="37">
        <f t="shared" si="21"/>
        <v>0</v>
      </c>
      <c r="M34" s="503"/>
      <c r="N34" s="316" t="s">
        <v>340</v>
      </c>
    </row>
    <row r="35" spans="1:14" hidden="1" x14ac:dyDescent="0.25">
      <c r="A35" s="505"/>
      <c r="B35" s="379"/>
      <c r="C35" s="12"/>
      <c r="D35" s="37">
        <f t="shared" ref="D35:L35" si="22">C35</f>
        <v>0</v>
      </c>
      <c r="E35" s="37">
        <f t="shared" si="22"/>
        <v>0</v>
      </c>
      <c r="F35" s="37">
        <f t="shared" si="22"/>
        <v>0</v>
      </c>
      <c r="G35" s="37">
        <f t="shared" si="22"/>
        <v>0</v>
      </c>
      <c r="H35" s="37">
        <f t="shared" si="22"/>
        <v>0</v>
      </c>
      <c r="I35" s="37">
        <f t="shared" si="22"/>
        <v>0</v>
      </c>
      <c r="J35" s="37">
        <f t="shared" si="22"/>
        <v>0</v>
      </c>
      <c r="K35" s="37">
        <f t="shared" si="22"/>
        <v>0</v>
      </c>
      <c r="L35" s="37">
        <f t="shared" si="22"/>
        <v>0</v>
      </c>
      <c r="M35" s="503"/>
      <c r="N35" s="316" t="s">
        <v>340</v>
      </c>
    </row>
    <row r="36" spans="1:14" hidden="1" x14ac:dyDescent="0.25">
      <c r="A36" s="505"/>
      <c r="B36" s="379"/>
      <c r="C36" s="12"/>
      <c r="D36" s="37">
        <f t="shared" ref="D36:L36" si="23">C36</f>
        <v>0</v>
      </c>
      <c r="E36" s="37">
        <f t="shared" si="23"/>
        <v>0</v>
      </c>
      <c r="F36" s="37">
        <f t="shared" si="23"/>
        <v>0</v>
      </c>
      <c r="G36" s="37">
        <f t="shared" si="23"/>
        <v>0</v>
      </c>
      <c r="H36" s="37">
        <f t="shared" si="23"/>
        <v>0</v>
      </c>
      <c r="I36" s="37">
        <f t="shared" si="23"/>
        <v>0</v>
      </c>
      <c r="J36" s="37">
        <f t="shared" si="23"/>
        <v>0</v>
      </c>
      <c r="K36" s="37">
        <f t="shared" si="23"/>
        <v>0</v>
      </c>
      <c r="L36" s="37">
        <f t="shared" si="23"/>
        <v>0</v>
      </c>
      <c r="M36" s="503"/>
      <c r="N36" s="316" t="s">
        <v>340</v>
      </c>
    </row>
    <row r="37" spans="1:14" hidden="1" x14ac:dyDescent="0.25">
      <c r="A37" s="505"/>
      <c r="B37" s="379"/>
      <c r="C37" s="12"/>
      <c r="D37" s="37">
        <f t="shared" ref="D37:L37" si="24">C37</f>
        <v>0</v>
      </c>
      <c r="E37" s="37">
        <f t="shared" si="24"/>
        <v>0</v>
      </c>
      <c r="F37" s="37">
        <f t="shared" si="24"/>
        <v>0</v>
      </c>
      <c r="G37" s="37">
        <f t="shared" si="24"/>
        <v>0</v>
      </c>
      <c r="H37" s="37">
        <f t="shared" si="24"/>
        <v>0</v>
      </c>
      <c r="I37" s="37">
        <f t="shared" si="24"/>
        <v>0</v>
      </c>
      <c r="J37" s="37">
        <f t="shared" si="24"/>
        <v>0</v>
      </c>
      <c r="K37" s="37">
        <f t="shared" si="24"/>
        <v>0</v>
      </c>
      <c r="L37" s="37">
        <f t="shared" si="24"/>
        <v>0</v>
      </c>
      <c r="M37" s="503"/>
      <c r="N37" s="316" t="s">
        <v>340</v>
      </c>
    </row>
    <row r="38" spans="1:14" hidden="1" x14ac:dyDescent="0.25">
      <c r="A38" s="505"/>
      <c r="B38" s="379"/>
      <c r="C38" s="12"/>
      <c r="D38" s="37">
        <f t="shared" ref="D38:L38" si="25">C38</f>
        <v>0</v>
      </c>
      <c r="E38" s="37">
        <f t="shared" si="25"/>
        <v>0</v>
      </c>
      <c r="F38" s="37">
        <f t="shared" si="25"/>
        <v>0</v>
      </c>
      <c r="G38" s="37">
        <f t="shared" si="25"/>
        <v>0</v>
      </c>
      <c r="H38" s="37">
        <f t="shared" si="25"/>
        <v>0</v>
      </c>
      <c r="I38" s="37">
        <f t="shared" si="25"/>
        <v>0</v>
      </c>
      <c r="J38" s="37">
        <f t="shared" si="25"/>
        <v>0</v>
      </c>
      <c r="K38" s="37">
        <f t="shared" si="25"/>
        <v>0</v>
      </c>
      <c r="L38" s="37">
        <f t="shared" si="25"/>
        <v>0</v>
      </c>
      <c r="M38" s="503"/>
      <c r="N38" s="316" t="s">
        <v>340</v>
      </c>
    </row>
    <row r="39" spans="1:14" hidden="1" x14ac:dyDescent="0.25">
      <c r="A39" s="507" t="s">
        <v>24</v>
      </c>
      <c r="B39" s="263" t="s">
        <v>326</v>
      </c>
      <c r="C39" s="390"/>
      <c r="D39" s="37">
        <f t="shared" ref="D39:L39" si="26">C39</f>
        <v>0</v>
      </c>
      <c r="E39" s="37">
        <f t="shared" si="26"/>
        <v>0</v>
      </c>
      <c r="F39" s="37">
        <f t="shared" si="26"/>
        <v>0</v>
      </c>
      <c r="G39" s="37">
        <f t="shared" si="26"/>
        <v>0</v>
      </c>
      <c r="H39" s="37">
        <f t="shared" si="26"/>
        <v>0</v>
      </c>
      <c r="I39" s="37">
        <f t="shared" si="26"/>
        <v>0</v>
      </c>
      <c r="J39" s="37">
        <f t="shared" si="26"/>
        <v>0</v>
      </c>
      <c r="K39" s="37">
        <f t="shared" si="26"/>
        <v>0</v>
      </c>
      <c r="L39" s="37">
        <f t="shared" si="26"/>
        <v>0</v>
      </c>
      <c r="M39" s="508"/>
      <c r="N39" s="316" t="s">
        <v>340</v>
      </c>
    </row>
    <row r="40" spans="1:14" hidden="1" x14ac:dyDescent="0.25">
      <c r="A40" s="505"/>
      <c r="B40" s="348"/>
      <c r="C40" s="12"/>
      <c r="D40" s="12"/>
      <c r="E40" s="12"/>
      <c r="F40" s="12"/>
      <c r="G40" s="12"/>
      <c r="H40" s="12"/>
      <c r="I40" s="12"/>
      <c r="J40" s="12"/>
      <c r="K40" s="40"/>
      <c r="L40" s="12"/>
      <c r="M40" s="503"/>
      <c r="N40" s="316" t="s">
        <v>340</v>
      </c>
    </row>
    <row r="41" spans="1:14" ht="15.75" hidden="1" thickBot="1" x14ac:dyDescent="0.3">
      <c r="A41" s="505"/>
      <c r="B41" s="348"/>
      <c r="C41" s="12"/>
      <c r="D41" s="12"/>
      <c r="E41" s="12"/>
      <c r="F41" s="12"/>
      <c r="G41" s="12"/>
      <c r="H41" s="12"/>
      <c r="I41" s="12"/>
      <c r="J41" s="12"/>
      <c r="K41" s="40"/>
      <c r="L41" s="12"/>
      <c r="M41" s="503"/>
      <c r="N41" s="316" t="s">
        <v>340</v>
      </c>
    </row>
    <row r="42" spans="1:14" ht="15.75" thickBot="1" x14ac:dyDescent="0.3">
      <c r="A42" s="693" t="s">
        <v>23</v>
      </c>
      <c r="B42" s="694" t="str">
        <f>[1]Arkusz1!B42</f>
        <v>AKTYWA OBROTOWE</v>
      </c>
      <c r="C42" s="695">
        <f>C43+C49+C62+C79</f>
        <v>0</v>
      </c>
      <c r="D42" s="695">
        <f t="shared" ref="D42:K42" si="27">SUM(D43,D49,D62,D79)</f>
        <v>0</v>
      </c>
      <c r="E42" s="695">
        <f t="shared" si="27"/>
        <v>0</v>
      </c>
      <c r="F42" s="695">
        <f t="shared" si="27"/>
        <v>0</v>
      </c>
      <c r="G42" s="695">
        <f t="shared" si="27"/>
        <v>0</v>
      </c>
      <c r="H42" s="695">
        <f t="shared" si="27"/>
        <v>0</v>
      </c>
      <c r="I42" s="695">
        <f t="shared" si="27"/>
        <v>0</v>
      </c>
      <c r="J42" s="695">
        <f t="shared" si="27"/>
        <v>0</v>
      </c>
      <c r="K42" s="696">
        <f t="shared" si="27"/>
        <v>0</v>
      </c>
      <c r="L42" s="695">
        <f t="shared" ref="L42" si="28">SUM(L43,L49,L62,L79)</f>
        <v>0</v>
      </c>
      <c r="M42" s="697">
        <f>M43+M49+M62+M79</f>
        <v>0</v>
      </c>
      <c r="N42" s="316"/>
    </row>
    <row r="43" spans="1:14" ht="15.4" customHeight="1" x14ac:dyDescent="0.25">
      <c r="A43" s="497" t="s">
        <v>19</v>
      </c>
      <c r="B43" s="409" t="s">
        <v>328</v>
      </c>
      <c r="C43" s="111"/>
      <c r="D43" s="459">
        <f>C43+'POŻYCZKA I'!E11-KPIR!D51</f>
        <v>0</v>
      </c>
      <c r="E43" s="459">
        <f>D43+'POŻYCZKA I'!F11</f>
        <v>0</v>
      </c>
      <c r="F43" s="459">
        <f>E43+'POŻYCZKA I'!G11</f>
        <v>0</v>
      </c>
      <c r="G43" s="459">
        <f>F43+'POŻYCZKA I'!H11</f>
        <v>0</v>
      </c>
      <c r="H43" s="459">
        <f>G43+'POŻYCZKA I'!I11</f>
        <v>0</v>
      </c>
      <c r="I43" s="459">
        <f>H43+'POŻYCZKA I'!J11</f>
        <v>0</v>
      </c>
      <c r="J43" s="459">
        <f>I43+'POŻYCZKA I'!K11</f>
        <v>0</v>
      </c>
      <c r="K43" s="459">
        <f>J43+'POŻYCZKA I'!L11</f>
        <v>0</v>
      </c>
      <c r="L43" s="459">
        <f>K43+'POŻYCZKA I'!M11</f>
        <v>0</v>
      </c>
      <c r="M43" s="509"/>
      <c r="N43" s="316" t="s">
        <v>340</v>
      </c>
    </row>
    <row r="44" spans="1:14" ht="12" hidden="1" customHeight="1" x14ac:dyDescent="0.25">
      <c r="A44" s="498"/>
      <c r="B44" s="185"/>
      <c r="C44" s="51"/>
      <c r="D44" s="455"/>
      <c r="E44" s="455"/>
      <c r="F44" s="455"/>
      <c r="G44" s="455"/>
      <c r="H44" s="455"/>
      <c r="I44" s="455"/>
      <c r="J44" s="455"/>
      <c r="K44" s="455"/>
      <c r="L44" s="455"/>
      <c r="M44" s="499"/>
      <c r="N44" s="316" t="s">
        <v>340</v>
      </c>
    </row>
    <row r="45" spans="1:14" ht="12" hidden="1" customHeight="1" x14ac:dyDescent="0.25">
      <c r="A45" s="498"/>
      <c r="B45" s="185"/>
      <c r="C45" s="51"/>
      <c r="D45" s="455"/>
      <c r="E45" s="455"/>
      <c r="F45" s="455"/>
      <c r="G45" s="455"/>
      <c r="H45" s="455"/>
      <c r="I45" s="455"/>
      <c r="J45" s="455"/>
      <c r="K45" s="455"/>
      <c r="L45" s="455"/>
      <c r="M45" s="499"/>
      <c r="N45" s="316" t="s">
        <v>340</v>
      </c>
    </row>
    <row r="46" spans="1:14" ht="12" hidden="1" customHeight="1" x14ac:dyDescent="0.25">
      <c r="A46" s="498"/>
      <c r="B46" s="185"/>
      <c r="C46" s="51"/>
      <c r="D46" s="455"/>
      <c r="E46" s="455"/>
      <c r="F46" s="455"/>
      <c r="G46" s="455"/>
      <c r="H46" s="455"/>
      <c r="I46" s="455"/>
      <c r="J46" s="455"/>
      <c r="K46" s="455"/>
      <c r="L46" s="455"/>
      <c r="M46" s="499"/>
      <c r="N46" s="316" t="s">
        <v>340</v>
      </c>
    </row>
    <row r="47" spans="1:14" ht="12" hidden="1" customHeight="1" x14ac:dyDescent="0.25">
      <c r="A47" s="498"/>
      <c r="B47" s="185"/>
      <c r="C47" s="51"/>
      <c r="D47" s="455"/>
      <c r="E47" s="455"/>
      <c r="F47" s="455"/>
      <c r="G47" s="455"/>
      <c r="H47" s="455"/>
      <c r="I47" s="455"/>
      <c r="J47" s="455"/>
      <c r="K47" s="455"/>
      <c r="L47" s="455"/>
      <c r="M47" s="499"/>
      <c r="N47" s="316" t="s">
        <v>340</v>
      </c>
    </row>
    <row r="48" spans="1:14" ht="12" hidden="1" customHeight="1" x14ac:dyDescent="0.25">
      <c r="A48" s="498"/>
      <c r="B48" s="185"/>
      <c r="C48" s="51"/>
      <c r="D48" s="455"/>
      <c r="E48" s="455"/>
      <c r="F48" s="455"/>
      <c r="G48" s="455"/>
      <c r="H48" s="455"/>
      <c r="I48" s="455"/>
      <c r="J48" s="455"/>
      <c r="K48" s="455"/>
      <c r="L48" s="455"/>
      <c r="M48" s="499"/>
      <c r="N48" s="316" t="s">
        <v>340</v>
      </c>
    </row>
    <row r="49" spans="1:14" ht="17.649999999999999" customHeight="1" x14ac:dyDescent="0.25">
      <c r="A49" s="497" t="s">
        <v>20</v>
      </c>
      <c r="B49" s="406" t="s">
        <v>327</v>
      </c>
      <c r="C49" s="112"/>
      <c r="D49" s="454">
        <f>C49+'POŻYCZKA I'!E12</f>
        <v>0</v>
      </c>
      <c r="E49" s="454">
        <f>D49+'POŻYCZKA I'!F12</f>
        <v>0</v>
      </c>
      <c r="F49" s="454">
        <f>E49+'POŻYCZKA I'!G12</f>
        <v>0</v>
      </c>
      <c r="G49" s="454">
        <f>F49+'POŻYCZKA I'!H12</f>
        <v>0</v>
      </c>
      <c r="H49" s="454">
        <f>G49+'POŻYCZKA I'!I12</f>
        <v>0</v>
      </c>
      <c r="I49" s="454">
        <f>H49+'POŻYCZKA I'!J12</f>
        <v>0</v>
      </c>
      <c r="J49" s="454">
        <f>I49+'POŻYCZKA I'!K12</f>
        <v>0</v>
      </c>
      <c r="K49" s="454">
        <f>J49+'POŻYCZKA I'!L12</f>
        <v>0</v>
      </c>
      <c r="L49" s="454">
        <f>K49+'POŻYCZKA I'!M12</f>
        <v>0</v>
      </c>
      <c r="M49" s="500"/>
      <c r="N49" s="316" t="s">
        <v>340</v>
      </c>
    </row>
    <row r="50" spans="1:14" ht="15" hidden="1" customHeight="1" x14ac:dyDescent="0.25">
      <c r="A50" s="498"/>
      <c r="B50" s="185"/>
      <c r="C50" s="55"/>
      <c r="D50" s="454"/>
      <c r="E50" s="454"/>
      <c r="F50" s="454"/>
      <c r="G50" s="454"/>
      <c r="H50" s="454"/>
      <c r="I50" s="454"/>
      <c r="J50" s="454"/>
      <c r="K50" s="460"/>
      <c r="L50" s="454"/>
      <c r="M50" s="510"/>
      <c r="N50" s="316" t="s">
        <v>340</v>
      </c>
    </row>
    <row r="51" spans="1:14" hidden="1" x14ac:dyDescent="0.25">
      <c r="A51" s="498"/>
      <c r="B51" s="185"/>
      <c r="C51" s="52"/>
      <c r="D51" s="457">
        <f t="shared" ref="D51:K51" si="29">SUM(D52:D53)</f>
        <v>0</v>
      </c>
      <c r="E51" s="457">
        <f t="shared" si="29"/>
        <v>0</v>
      </c>
      <c r="F51" s="457">
        <f t="shared" si="29"/>
        <v>0</v>
      </c>
      <c r="G51" s="457">
        <f t="shared" si="29"/>
        <v>0</v>
      </c>
      <c r="H51" s="457">
        <f t="shared" si="29"/>
        <v>0</v>
      </c>
      <c r="I51" s="457">
        <f t="shared" si="29"/>
        <v>0</v>
      </c>
      <c r="J51" s="457">
        <f t="shared" si="29"/>
        <v>0</v>
      </c>
      <c r="K51" s="458">
        <f t="shared" si="29"/>
        <v>0</v>
      </c>
      <c r="L51" s="457">
        <f t="shared" ref="L51" si="30">SUM(L52:L53)</f>
        <v>0</v>
      </c>
      <c r="M51" s="511"/>
      <c r="N51" s="316" t="s">
        <v>340</v>
      </c>
    </row>
    <row r="52" spans="1:14" hidden="1" x14ac:dyDescent="0.25">
      <c r="A52" s="498"/>
      <c r="B52" s="410"/>
      <c r="C52" s="51"/>
      <c r="D52" s="455"/>
      <c r="E52" s="455"/>
      <c r="F52" s="455"/>
      <c r="G52" s="455"/>
      <c r="H52" s="455"/>
      <c r="I52" s="455"/>
      <c r="J52" s="455"/>
      <c r="K52" s="456"/>
      <c r="L52" s="455"/>
      <c r="M52" s="499"/>
      <c r="N52" s="316" t="s">
        <v>340</v>
      </c>
    </row>
    <row r="53" spans="1:14" hidden="1" x14ac:dyDescent="0.25">
      <c r="A53" s="498"/>
      <c r="B53" s="410"/>
      <c r="C53" s="51"/>
      <c r="D53" s="455"/>
      <c r="E53" s="455"/>
      <c r="F53" s="455"/>
      <c r="G53" s="455"/>
      <c r="H53" s="455"/>
      <c r="I53" s="455"/>
      <c r="J53" s="455"/>
      <c r="K53" s="456"/>
      <c r="L53" s="455"/>
      <c r="M53" s="499"/>
      <c r="N53" s="316" t="s">
        <v>340</v>
      </c>
    </row>
    <row r="54" spans="1:14" hidden="1" x14ac:dyDescent="0.25">
      <c r="A54" s="498"/>
      <c r="B54" s="185"/>
      <c r="C54" s="51"/>
      <c r="D54" s="455"/>
      <c r="E54" s="455"/>
      <c r="F54" s="455"/>
      <c r="G54" s="455"/>
      <c r="H54" s="455"/>
      <c r="I54" s="455"/>
      <c r="J54" s="455"/>
      <c r="K54" s="456"/>
      <c r="L54" s="455"/>
      <c r="M54" s="499"/>
      <c r="N54" s="316" t="s">
        <v>340</v>
      </c>
    </row>
    <row r="55" spans="1:14" ht="15" hidden="1" customHeight="1" x14ac:dyDescent="0.25">
      <c r="A55" s="498"/>
      <c r="B55" s="185"/>
      <c r="C55" s="52"/>
      <c r="D55" s="457">
        <f>D56+D59+D60+D61</f>
        <v>0</v>
      </c>
      <c r="E55" s="457">
        <f t="shared" ref="E55:K55" si="31">SUM(E56,E59, E60,E61)</f>
        <v>0</v>
      </c>
      <c r="F55" s="457">
        <f t="shared" si="31"/>
        <v>0</v>
      </c>
      <c r="G55" s="457">
        <f t="shared" si="31"/>
        <v>0</v>
      </c>
      <c r="H55" s="457">
        <f t="shared" si="31"/>
        <v>0</v>
      </c>
      <c r="I55" s="457">
        <f t="shared" si="31"/>
        <v>0</v>
      </c>
      <c r="J55" s="457">
        <f t="shared" si="31"/>
        <v>0</v>
      </c>
      <c r="K55" s="458">
        <f t="shared" si="31"/>
        <v>0</v>
      </c>
      <c r="L55" s="457">
        <f t="shared" ref="L55" si="32">SUM(L56,L59, L60,L61)</f>
        <v>0</v>
      </c>
      <c r="M55" s="511"/>
      <c r="N55" s="316" t="s">
        <v>340</v>
      </c>
    </row>
    <row r="56" spans="1:14" ht="15" hidden="1" customHeight="1" x14ac:dyDescent="0.25">
      <c r="A56" s="498"/>
      <c r="B56" s="185"/>
      <c r="C56" s="52"/>
      <c r="D56" s="457"/>
      <c r="E56" s="457"/>
      <c r="F56" s="457"/>
      <c r="G56" s="457"/>
      <c r="H56" s="457"/>
      <c r="I56" s="457"/>
      <c r="J56" s="457"/>
      <c r="K56" s="458"/>
      <c r="L56" s="457"/>
      <c r="M56" s="511"/>
      <c r="N56" s="316" t="s">
        <v>340</v>
      </c>
    </row>
    <row r="57" spans="1:14" ht="15" hidden="1" customHeight="1" x14ac:dyDescent="0.25">
      <c r="A57" s="498"/>
      <c r="B57" s="410"/>
      <c r="C57" s="51"/>
      <c r="D57" s="455"/>
      <c r="E57" s="455">
        <f>D57+przepływy!E16</f>
        <v>0</v>
      </c>
      <c r="F57" s="455">
        <f>E57+przepływy!F16</f>
        <v>0</v>
      </c>
      <c r="G57" s="455">
        <f>F57+przepływy!G16</f>
        <v>0</v>
      </c>
      <c r="H57" s="455">
        <f>G57+przepływy!H16</f>
        <v>0</v>
      </c>
      <c r="I57" s="455">
        <f>H57+przepływy!I16</f>
        <v>0</v>
      </c>
      <c r="J57" s="455">
        <f>I57+przepływy!J16</f>
        <v>0</v>
      </c>
      <c r="K57" s="455">
        <f>J57+przepływy!K16</f>
        <v>0</v>
      </c>
      <c r="L57" s="455">
        <f>K57+przepływy!L16</f>
        <v>0</v>
      </c>
      <c r="M57" s="499"/>
      <c r="N57" s="316" t="s">
        <v>340</v>
      </c>
    </row>
    <row r="58" spans="1:14" ht="15" hidden="1" customHeight="1" x14ac:dyDescent="0.25">
      <c r="A58" s="498"/>
      <c r="B58" s="410"/>
      <c r="C58" s="51"/>
      <c r="D58" s="455"/>
      <c r="E58" s="455"/>
      <c r="F58" s="455"/>
      <c r="G58" s="455"/>
      <c r="H58" s="455"/>
      <c r="I58" s="455"/>
      <c r="J58" s="455"/>
      <c r="K58" s="456"/>
      <c r="L58" s="455"/>
      <c r="M58" s="499"/>
      <c r="N58" s="316" t="s">
        <v>340</v>
      </c>
    </row>
    <row r="59" spans="1:14" ht="24" hidden="1" customHeight="1" x14ac:dyDescent="0.25">
      <c r="A59" s="498"/>
      <c r="B59" s="185"/>
      <c r="C59" s="51"/>
      <c r="D59" s="455"/>
      <c r="E59" s="455"/>
      <c r="F59" s="455"/>
      <c r="G59" s="455"/>
      <c r="H59" s="455"/>
      <c r="I59" s="455"/>
      <c r="J59" s="455"/>
      <c r="K59" s="456"/>
      <c r="L59" s="455"/>
      <c r="M59" s="499"/>
      <c r="N59" s="316" t="s">
        <v>340</v>
      </c>
    </row>
    <row r="60" spans="1:14" ht="15" hidden="1" customHeight="1" x14ac:dyDescent="0.25">
      <c r="A60" s="498"/>
      <c r="B60" s="185"/>
      <c r="C60" s="51"/>
      <c r="D60" s="455"/>
      <c r="E60" s="455"/>
      <c r="F60" s="455"/>
      <c r="G60" s="455"/>
      <c r="H60" s="455"/>
      <c r="I60" s="455"/>
      <c r="J60" s="455"/>
      <c r="K60" s="456"/>
      <c r="L60" s="455"/>
      <c r="M60" s="499"/>
      <c r="N60" s="316" t="s">
        <v>340</v>
      </c>
    </row>
    <row r="61" spans="1:14" ht="15" hidden="1" customHeight="1" x14ac:dyDescent="0.25">
      <c r="A61" s="498"/>
      <c r="B61" s="185"/>
      <c r="C61" s="51"/>
      <c r="D61" s="455"/>
      <c r="E61" s="455"/>
      <c r="F61" s="455"/>
      <c r="G61" s="455"/>
      <c r="H61" s="455"/>
      <c r="I61" s="455"/>
      <c r="J61" s="455"/>
      <c r="K61" s="456"/>
      <c r="L61" s="455"/>
      <c r="M61" s="499"/>
      <c r="N61" s="316" t="s">
        <v>340</v>
      </c>
    </row>
    <row r="62" spans="1:14" ht="17.649999999999999" customHeight="1" thickBot="1" x14ac:dyDescent="0.3">
      <c r="A62" s="497" t="s">
        <v>21</v>
      </c>
      <c r="B62" s="409" t="s">
        <v>324</v>
      </c>
      <c r="C62" s="55"/>
      <c r="D62" s="454">
        <f>przepływy!D50</f>
        <v>0</v>
      </c>
      <c r="E62" s="454">
        <f>przepływy!E50</f>
        <v>0</v>
      </c>
      <c r="F62" s="454">
        <f>przepływy!F50</f>
        <v>0</v>
      </c>
      <c r="G62" s="454">
        <f>przepływy!G50</f>
        <v>0</v>
      </c>
      <c r="H62" s="454">
        <f>przepływy!H50</f>
        <v>0</v>
      </c>
      <c r="I62" s="454">
        <f>przepływy!I50</f>
        <v>0</v>
      </c>
      <c r="J62" s="454">
        <f>przepływy!J50</f>
        <v>0</v>
      </c>
      <c r="K62" s="460">
        <f>przepływy!K50</f>
        <v>0</v>
      </c>
      <c r="L62" s="454">
        <f>przepływy!L50</f>
        <v>0</v>
      </c>
      <c r="M62" s="510"/>
      <c r="N62" s="316" t="s">
        <v>340</v>
      </c>
    </row>
    <row r="63" spans="1:14" ht="12" hidden="1" customHeight="1" x14ac:dyDescent="0.25">
      <c r="A63" s="505"/>
      <c r="B63" s="348"/>
      <c r="C63" s="37"/>
      <c r="D63" s="37"/>
      <c r="E63" s="37"/>
      <c r="F63" s="37"/>
      <c r="G63" s="37"/>
      <c r="H63" s="37"/>
      <c r="I63" s="37"/>
      <c r="J63" s="37"/>
      <c r="K63" s="39"/>
      <c r="L63" s="37"/>
      <c r="M63" s="506"/>
      <c r="N63" s="316" t="s">
        <v>340</v>
      </c>
    </row>
    <row r="64" spans="1:14" ht="12" hidden="1" customHeight="1" x14ac:dyDescent="0.25">
      <c r="A64" s="505"/>
      <c r="B64" s="348"/>
      <c r="C64" s="37"/>
      <c r="D64" s="37">
        <f t="shared" ref="D64:K64" si="33">SUM(D65:D68)</f>
        <v>0</v>
      </c>
      <c r="E64" s="37">
        <f t="shared" si="33"/>
        <v>0</v>
      </c>
      <c r="F64" s="37">
        <f t="shared" si="33"/>
        <v>0</v>
      </c>
      <c r="G64" s="37">
        <f t="shared" si="33"/>
        <v>0</v>
      </c>
      <c r="H64" s="37">
        <f t="shared" si="33"/>
        <v>0</v>
      </c>
      <c r="I64" s="37">
        <f t="shared" si="33"/>
        <v>0</v>
      </c>
      <c r="J64" s="37">
        <f t="shared" si="33"/>
        <v>0</v>
      </c>
      <c r="K64" s="39">
        <f t="shared" si="33"/>
        <v>0</v>
      </c>
      <c r="L64" s="37">
        <f t="shared" ref="L64" si="34">SUM(L65:L68)</f>
        <v>0</v>
      </c>
      <c r="M64" s="506"/>
      <c r="N64" s="316" t="s">
        <v>340</v>
      </c>
    </row>
    <row r="65" spans="1:14" ht="12" hidden="1" customHeight="1" x14ac:dyDescent="0.25">
      <c r="A65" s="505"/>
      <c r="B65" s="381"/>
      <c r="C65" s="12"/>
      <c r="D65" s="12"/>
      <c r="E65" s="12"/>
      <c r="F65" s="12"/>
      <c r="G65" s="12"/>
      <c r="H65" s="12"/>
      <c r="I65" s="12"/>
      <c r="J65" s="12"/>
      <c r="K65" s="40"/>
      <c r="L65" s="12"/>
      <c r="M65" s="503"/>
      <c r="N65" s="316" t="s">
        <v>340</v>
      </c>
    </row>
    <row r="66" spans="1:14" ht="12" hidden="1" customHeight="1" x14ac:dyDescent="0.25">
      <c r="A66" s="505"/>
      <c r="B66" s="381"/>
      <c r="C66" s="12"/>
      <c r="D66" s="12"/>
      <c r="E66" s="12"/>
      <c r="F66" s="12"/>
      <c r="G66" s="12"/>
      <c r="H66" s="12"/>
      <c r="I66" s="12"/>
      <c r="J66" s="12"/>
      <c r="K66" s="40"/>
      <c r="L66" s="12"/>
      <c r="M66" s="503"/>
      <c r="N66" s="316" t="s">
        <v>340</v>
      </c>
    </row>
    <row r="67" spans="1:14" ht="12" hidden="1" customHeight="1" x14ac:dyDescent="0.25">
      <c r="A67" s="505"/>
      <c r="B67" s="381"/>
      <c r="C67" s="12"/>
      <c r="D67" s="12"/>
      <c r="E67" s="12"/>
      <c r="F67" s="12"/>
      <c r="G67" s="12"/>
      <c r="H67" s="12"/>
      <c r="I67" s="12"/>
      <c r="J67" s="12"/>
      <c r="K67" s="40"/>
      <c r="L67" s="12"/>
      <c r="M67" s="503"/>
      <c r="N67" s="316" t="s">
        <v>340</v>
      </c>
    </row>
    <row r="68" spans="1:14" ht="12" hidden="1" customHeight="1" x14ac:dyDescent="0.25">
      <c r="A68" s="505"/>
      <c r="B68" s="381"/>
      <c r="C68" s="12"/>
      <c r="D68" s="12"/>
      <c r="E68" s="12"/>
      <c r="F68" s="12"/>
      <c r="G68" s="12"/>
      <c r="H68" s="12"/>
      <c r="I68" s="12"/>
      <c r="J68" s="12"/>
      <c r="K68" s="40"/>
      <c r="L68" s="12"/>
      <c r="M68" s="503"/>
      <c r="N68" s="316" t="s">
        <v>340</v>
      </c>
    </row>
    <row r="69" spans="1:14" ht="12" hidden="1" customHeight="1" x14ac:dyDescent="0.25">
      <c r="A69" s="505"/>
      <c r="B69" s="381"/>
      <c r="C69" s="37"/>
      <c r="D69" s="37">
        <f t="shared" ref="D69:K69" si="35">SUM(D70:D73)</f>
        <v>0</v>
      </c>
      <c r="E69" s="37">
        <f t="shared" si="35"/>
        <v>0</v>
      </c>
      <c r="F69" s="37">
        <f t="shared" si="35"/>
        <v>0</v>
      </c>
      <c r="G69" s="37">
        <f t="shared" si="35"/>
        <v>0</v>
      </c>
      <c r="H69" s="37">
        <f t="shared" si="35"/>
        <v>0</v>
      </c>
      <c r="I69" s="37">
        <f t="shared" si="35"/>
        <v>0</v>
      </c>
      <c r="J69" s="37">
        <f t="shared" si="35"/>
        <v>0</v>
      </c>
      <c r="K69" s="39">
        <f t="shared" si="35"/>
        <v>0</v>
      </c>
      <c r="L69" s="37">
        <f t="shared" ref="L69" si="36">SUM(L70:L73)</f>
        <v>0</v>
      </c>
      <c r="M69" s="506"/>
      <c r="N69" s="316" t="s">
        <v>340</v>
      </c>
    </row>
    <row r="70" spans="1:14" ht="12" hidden="1" customHeight="1" x14ac:dyDescent="0.25">
      <c r="A70" s="505"/>
      <c r="B70" s="381"/>
      <c r="C70" s="12"/>
      <c r="D70" s="12"/>
      <c r="E70" s="12"/>
      <c r="F70" s="12"/>
      <c r="G70" s="12"/>
      <c r="H70" s="12"/>
      <c r="I70" s="12"/>
      <c r="J70" s="12"/>
      <c r="K70" s="40"/>
      <c r="L70" s="12"/>
      <c r="M70" s="503"/>
      <c r="N70" s="316" t="s">
        <v>340</v>
      </c>
    </row>
    <row r="71" spans="1:14" ht="12" hidden="1" customHeight="1" x14ac:dyDescent="0.25">
      <c r="A71" s="505"/>
      <c r="B71" s="381"/>
      <c r="C71" s="12"/>
      <c r="D71" s="12"/>
      <c r="E71" s="12"/>
      <c r="F71" s="12"/>
      <c r="G71" s="12"/>
      <c r="H71" s="12"/>
      <c r="I71" s="12"/>
      <c r="J71" s="12"/>
      <c r="K71" s="40"/>
      <c r="L71" s="12"/>
      <c r="M71" s="503"/>
      <c r="N71" s="316" t="s">
        <v>340</v>
      </c>
    </row>
    <row r="72" spans="1:14" ht="12" hidden="1" customHeight="1" x14ac:dyDescent="0.25">
      <c r="A72" s="505"/>
      <c r="B72" s="381"/>
      <c r="C72" s="12"/>
      <c r="D72" s="12"/>
      <c r="E72" s="12"/>
      <c r="F72" s="12"/>
      <c r="G72" s="12"/>
      <c r="H72" s="12"/>
      <c r="I72" s="12"/>
      <c r="J72" s="12"/>
      <c r="K72" s="40"/>
      <c r="L72" s="12"/>
      <c r="M72" s="503"/>
      <c r="N72" s="316" t="s">
        <v>340</v>
      </c>
    </row>
    <row r="73" spans="1:14" ht="12" hidden="1" customHeight="1" x14ac:dyDescent="0.25">
      <c r="A73" s="505"/>
      <c r="B73" s="381"/>
      <c r="C73" s="12"/>
      <c r="D73" s="12"/>
      <c r="E73" s="12"/>
      <c r="F73" s="12"/>
      <c r="G73" s="12"/>
      <c r="H73" s="12"/>
      <c r="I73" s="12"/>
      <c r="J73" s="12"/>
      <c r="K73" s="40"/>
      <c r="L73" s="12"/>
      <c r="M73" s="503"/>
      <c r="N73" s="316" t="s">
        <v>340</v>
      </c>
    </row>
    <row r="74" spans="1:14" ht="12" hidden="1" customHeight="1" x14ac:dyDescent="0.25">
      <c r="A74" s="505"/>
      <c r="B74" s="381"/>
      <c r="C74" s="12"/>
      <c r="D74" s="12"/>
      <c r="E74" s="12"/>
      <c r="F74" s="12"/>
      <c r="G74" s="12"/>
      <c r="H74" s="12"/>
      <c r="I74" s="12"/>
      <c r="J74" s="12"/>
      <c r="K74" s="40"/>
      <c r="L74" s="12"/>
      <c r="M74" s="503"/>
      <c r="N74" s="316" t="s">
        <v>340</v>
      </c>
    </row>
    <row r="75" spans="1:14" ht="12" hidden="1" customHeight="1" x14ac:dyDescent="0.25">
      <c r="A75" s="505"/>
      <c r="B75" s="381"/>
      <c r="C75" s="12"/>
      <c r="D75" s="12"/>
      <c r="E75" s="12"/>
      <c r="F75" s="12"/>
      <c r="G75" s="12"/>
      <c r="H75" s="12"/>
      <c r="I75" s="12"/>
      <c r="J75" s="12"/>
      <c r="K75" s="40"/>
      <c r="L75" s="12"/>
      <c r="M75" s="503"/>
      <c r="N75" s="316" t="s">
        <v>340</v>
      </c>
    </row>
    <row r="76" spans="1:14" ht="12" hidden="1" customHeight="1" x14ac:dyDescent="0.25">
      <c r="A76" s="505"/>
      <c r="B76" s="381"/>
      <c r="C76" s="12"/>
      <c r="D76" s="12"/>
      <c r="E76" s="12"/>
      <c r="F76" s="12"/>
      <c r="G76" s="12"/>
      <c r="H76" s="12"/>
      <c r="I76" s="12"/>
      <c r="J76" s="12"/>
      <c r="K76" s="40"/>
      <c r="L76" s="12"/>
      <c r="M76" s="503"/>
      <c r="N76" s="316" t="s">
        <v>340</v>
      </c>
    </row>
    <row r="77" spans="1:14" ht="12" hidden="1" customHeight="1" x14ac:dyDescent="0.25">
      <c r="A77" s="505"/>
      <c r="B77" s="381"/>
      <c r="C77" s="12"/>
      <c r="D77" s="12"/>
      <c r="E77" s="12"/>
      <c r="F77" s="12"/>
      <c r="G77" s="12"/>
      <c r="H77" s="12"/>
      <c r="I77" s="12"/>
      <c r="J77" s="12"/>
      <c r="K77" s="40"/>
      <c r="L77" s="12"/>
      <c r="M77" s="503"/>
      <c r="N77" s="316" t="s">
        <v>340</v>
      </c>
    </row>
    <row r="78" spans="1:14" ht="12" hidden="1" customHeight="1" x14ac:dyDescent="0.25">
      <c r="A78" s="505"/>
      <c r="B78" s="348"/>
      <c r="C78" s="12"/>
      <c r="D78" s="12"/>
      <c r="E78" s="12"/>
      <c r="F78" s="12"/>
      <c r="G78" s="12"/>
      <c r="H78" s="12"/>
      <c r="I78" s="12"/>
      <c r="J78" s="12"/>
      <c r="K78" s="40"/>
      <c r="L78" s="12"/>
      <c r="M78" s="503"/>
      <c r="N78" s="316" t="s">
        <v>340</v>
      </c>
    </row>
    <row r="79" spans="1:14" ht="12" hidden="1" customHeight="1" thickBot="1" x14ac:dyDescent="0.3">
      <c r="A79" s="512" t="s">
        <v>22</v>
      </c>
      <c r="B79" s="382" t="s">
        <v>325</v>
      </c>
      <c r="C79" s="262"/>
      <c r="D79" s="262">
        <f>C79</f>
        <v>0</v>
      </c>
      <c r="E79" s="262">
        <f t="shared" ref="E79:L79" si="37">D79</f>
        <v>0</v>
      </c>
      <c r="F79" s="262">
        <f t="shared" si="37"/>
        <v>0</v>
      </c>
      <c r="G79" s="262">
        <f t="shared" si="37"/>
        <v>0</v>
      </c>
      <c r="H79" s="262">
        <f t="shared" si="37"/>
        <v>0</v>
      </c>
      <c r="I79" s="262">
        <f t="shared" si="37"/>
        <v>0</v>
      </c>
      <c r="J79" s="262">
        <f t="shared" si="37"/>
        <v>0</v>
      </c>
      <c r="K79" s="262">
        <f t="shared" si="37"/>
        <v>0</v>
      </c>
      <c r="L79" s="262">
        <f t="shared" si="37"/>
        <v>0</v>
      </c>
      <c r="M79" s="513"/>
      <c r="N79" s="316" t="s">
        <v>340</v>
      </c>
    </row>
    <row r="80" spans="1:14" ht="12" customHeight="1" x14ac:dyDescent="0.25">
      <c r="A80" s="514"/>
      <c r="B80" s="383" t="str">
        <f>[1]Arkusz1!B80</f>
        <v>SUMA AKTYWÓW</v>
      </c>
      <c r="C80" s="121">
        <f>C6+C42</f>
        <v>0</v>
      </c>
      <c r="D80" s="121">
        <f t="shared" ref="D80:L80" si="38">D6+D42</f>
        <v>0</v>
      </c>
      <c r="E80" s="121">
        <f t="shared" si="38"/>
        <v>0</v>
      </c>
      <c r="F80" s="121">
        <f t="shared" si="38"/>
        <v>0</v>
      </c>
      <c r="G80" s="121">
        <f t="shared" si="38"/>
        <v>0</v>
      </c>
      <c r="H80" s="121">
        <f t="shared" si="38"/>
        <v>0</v>
      </c>
      <c r="I80" s="121">
        <f t="shared" si="38"/>
        <v>0</v>
      </c>
      <c r="J80" s="121">
        <f t="shared" si="38"/>
        <v>0</v>
      </c>
      <c r="K80" s="121">
        <f t="shared" si="38"/>
        <v>0</v>
      </c>
      <c r="L80" s="121">
        <f t="shared" si="38"/>
        <v>0</v>
      </c>
      <c r="M80" s="515">
        <f>M6+M42</f>
        <v>0</v>
      </c>
      <c r="N80" s="316"/>
    </row>
    <row r="81" spans="1:15" ht="4.5" customHeight="1" x14ac:dyDescent="0.25">
      <c r="A81" s="516"/>
      <c r="B81" s="384"/>
      <c r="C81" s="116"/>
      <c r="D81" s="116"/>
      <c r="E81" s="116"/>
      <c r="F81" s="116"/>
      <c r="G81" s="116"/>
      <c r="H81" s="116"/>
      <c r="I81" s="116"/>
      <c r="J81" s="116"/>
      <c r="K81" s="116"/>
      <c r="L81" s="347"/>
      <c r="M81" s="517"/>
      <c r="N81" s="316"/>
    </row>
    <row r="82" spans="1:15" ht="15.75" thickBot="1" x14ac:dyDescent="0.3">
      <c r="A82" s="518"/>
      <c r="B82" s="385" t="str">
        <f>[1]Arkusz1!B84</f>
        <v>TREŚĆ</v>
      </c>
      <c r="C82" s="117">
        <f t="shared" ref="C82:L82" si="39">C5</f>
        <v>2024</v>
      </c>
      <c r="D82" s="117">
        <f t="shared" si="39"/>
        <v>2025</v>
      </c>
      <c r="E82" s="117">
        <f t="shared" si="39"/>
        <v>2026</v>
      </c>
      <c r="F82" s="117">
        <f t="shared" si="39"/>
        <v>2027</v>
      </c>
      <c r="G82" s="117" t="str">
        <f t="shared" si="39"/>
        <v>rok 4</v>
      </c>
      <c r="H82" s="117" t="str">
        <f t="shared" si="39"/>
        <v>rok 5</v>
      </c>
      <c r="I82" s="117" t="str">
        <f t="shared" si="39"/>
        <v>rok 6</v>
      </c>
      <c r="J82" s="117" t="str">
        <f t="shared" si="39"/>
        <v>rok 7</v>
      </c>
      <c r="K82" s="118" t="str">
        <f t="shared" si="39"/>
        <v>rok 8</v>
      </c>
      <c r="L82" s="117" t="str">
        <f t="shared" si="39"/>
        <v>rok 9</v>
      </c>
      <c r="M82" s="519" t="str">
        <f t="shared" ref="M82" si="40">M5</f>
        <v>za ostatni miesiąc</v>
      </c>
      <c r="N82" s="316"/>
    </row>
    <row r="83" spans="1:15" ht="15.75" thickBot="1" x14ac:dyDescent="0.3">
      <c r="A83" s="693" t="s">
        <v>18</v>
      </c>
      <c r="B83" s="694" t="s">
        <v>284</v>
      </c>
      <c r="C83" s="695">
        <f>SUM(C84:C92)</f>
        <v>0</v>
      </c>
      <c r="D83" s="695">
        <f t="shared" ref="D83:M83" si="41">SUM(D84:D92)</f>
        <v>0</v>
      </c>
      <c r="E83" s="695">
        <f>SUM(E84:E92)</f>
        <v>0</v>
      </c>
      <c r="F83" s="695">
        <f>SUM(F84:F92)</f>
        <v>0</v>
      </c>
      <c r="G83" s="695">
        <f t="shared" si="41"/>
        <v>0</v>
      </c>
      <c r="H83" s="695">
        <f t="shared" si="41"/>
        <v>0</v>
      </c>
      <c r="I83" s="695">
        <f t="shared" si="41"/>
        <v>0</v>
      </c>
      <c r="J83" s="695">
        <f t="shared" si="41"/>
        <v>0</v>
      </c>
      <c r="K83" s="695">
        <f t="shared" si="41"/>
        <v>0</v>
      </c>
      <c r="L83" s="695">
        <f t="shared" si="41"/>
        <v>0</v>
      </c>
      <c r="M83" s="697">
        <f t="shared" si="41"/>
        <v>0</v>
      </c>
      <c r="N83" s="316"/>
    </row>
    <row r="84" spans="1:15" hidden="1" x14ac:dyDescent="0.25">
      <c r="A84" s="507"/>
      <c r="B84" s="263" t="s">
        <v>353</v>
      </c>
      <c r="C84" s="358">
        <f>C80-C90-C91-C93</f>
        <v>0</v>
      </c>
      <c r="D84" s="37">
        <f>C84+przepływy!D36</f>
        <v>0</v>
      </c>
      <c r="E84" s="37">
        <f>D84+przepływy!E36</f>
        <v>0</v>
      </c>
      <c r="F84" s="37">
        <f>E84+przepływy!F36</f>
        <v>0</v>
      </c>
      <c r="G84" s="37">
        <f>F84+przepływy!G36</f>
        <v>0</v>
      </c>
      <c r="H84" s="37">
        <f>G84+przepływy!H36</f>
        <v>0</v>
      </c>
      <c r="I84" s="37">
        <f>H84+przepływy!I36</f>
        <v>0</v>
      </c>
      <c r="J84" s="37">
        <f>I84+przepływy!J36</f>
        <v>0</v>
      </c>
      <c r="K84" s="37">
        <f>J84+przepływy!K36</f>
        <v>0</v>
      </c>
      <c r="L84" s="37">
        <f>K84+przepływy!L36</f>
        <v>0</v>
      </c>
      <c r="M84" s="520">
        <f>M80-M90-M91-M93</f>
        <v>0</v>
      </c>
      <c r="N84" s="316"/>
      <c r="O84" s="259"/>
    </row>
    <row r="85" spans="1:15" hidden="1" x14ac:dyDescent="0.25">
      <c r="A85" s="507"/>
      <c r="B85" s="386"/>
      <c r="C85" s="12"/>
      <c r="D85" s="12"/>
      <c r="E85" s="12"/>
      <c r="F85" s="12"/>
      <c r="G85" s="12"/>
      <c r="H85" s="12"/>
      <c r="I85" s="12"/>
      <c r="J85" s="12"/>
      <c r="K85" s="40"/>
      <c r="L85" s="12"/>
      <c r="M85" s="521"/>
      <c r="N85" s="316" t="s">
        <v>340</v>
      </c>
    </row>
    <row r="86" spans="1:15" hidden="1" x14ac:dyDescent="0.25">
      <c r="A86" s="507"/>
      <c r="B86" s="386"/>
      <c r="C86" s="12"/>
      <c r="D86" s="12"/>
      <c r="E86" s="12"/>
      <c r="F86" s="12"/>
      <c r="G86" s="12"/>
      <c r="H86" s="12"/>
      <c r="I86" s="12"/>
      <c r="J86" s="12"/>
      <c r="K86" s="40"/>
      <c r="L86" s="12"/>
      <c r="M86" s="521"/>
      <c r="N86" s="316" t="s">
        <v>340</v>
      </c>
    </row>
    <row r="87" spans="1:15" hidden="1" x14ac:dyDescent="0.25">
      <c r="A87" s="507"/>
      <c r="B87" s="386"/>
      <c r="C87" s="12"/>
      <c r="D87" s="12"/>
      <c r="E87" s="12"/>
      <c r="F87" s="12"/>
      <c r="G87" s="12"/>
      <c r="H87" s="12"/>
      <c r="I87" s="12"/>
      <c r="J87" s="12"/>
      <c r="K87" s="40"/>
      <c r="L87" s="12"/>
      <c r="M87" s="521"/>
      <c r="N87" s="316" t="s">
        <v>340</v>
      </c>
    </row>
    <row r="88" spans="1:15" hidden="1" x14ac:dyDescent="0.25">
      <c r="A88" s="507"/>
      <c r="B88" s="386"/>
      <c r="C88" s="12"/>
      <c r="D88" s="12"/>
      <c r="E88" s="12"/>
      <c r="F88" s="12"/>
      <c r="G88" s="12"/>
      <c r="H88" s="12"/>
      <c r="I88" s="12"/>
      <c r="J88" s="12"/>
      <c r="K88" s="40"/>
      <c r="L88" s="12"/>
      <c r="M88" s="521"/>
      <c r="N88" s="316" t="s">
        <v>340</v>
      </c>
    </row>
    <row r="89" spans="1:15" hidden="1" x14ac:dyDescent="0.25">
      <c r="A89" s="507"/>
      <c r="B89" s="386"/>
      <c r="C89" s="12"/>
      <c r="D89" s="12"/>
      <c r="E89" s="12"/>
      <c r="F89" s="12"/>
      <c r="G89" s="12"/>
      <c r="H89" s="12"/>
      <c r="I89" s="12"/>
      <c r="J89" s="12"/>
      <c r="K89" s="40"/>
      <c r="L89" s="12"/>
      <c r="M89" s="521"/>
      <c r="N89" s="316" t="s">
        <v>340</v>
      </c>
    </row>
    <row r="90" spans="1:15" hidden="1" x14ac:dyDescent="0.25">
      <c r="A90" s="507"/>
      <c r="B90" s="263" t="s">
        <v>331</v>
      </c>
      <c r="C90" s="359"/>
      <c r="D90" s="37">
        <f>C90+C91</f>
        <v>0</v>
      </c>
      <c r="E90" s="37">
        <f t="shared" ref="E90:L90" si="42">D90+D91</f>
        <v>0</v>
      </c>
      <c r="F90" s="37">
        <f t="shared" si="42"/>
        <v>0</v>
      </c>
      <c r="G90" s="37">
        <f t="shared" si="42"/>
        <v>0</v>
      </c>
      <c r="H90" s="37">
        <f t="shared" si="42"/>
        <v>0</v>
      </c>
      <c r="I90" s="37">
        <f t="shared" si="42"/>
        <v>0</v>
      </c>
      <c r="J90" s="37">
        <f t="shared" si="42"/>
        <v>0</v>
      </c>
      <c r="K90" s="37">
        <f t="shared" si="42"/>
        <v>0</v>
      </c>
      <c r="L90" s="37">
        <f t="shared" si="42"/>
        <v>0</v>
      </c>
      <c r="M90" s="522">
        <f>C91+C90</f>
        <v>0</v>
      </c>
      <c r="N90" s="316"/>
    </row>
    <row r="91" spans="1:15" hidden="1" x14ac:dyDescent="0.25">
      <c r="A91" s="507"/>
      <c r="B91" s="263" t="s">
        <v>332</v>
      </c>
      <c r="C91" s="113">
        <f>KPIR!D59</f>
        <v>0</v>
      </c>
      <c r="D91" s="37">
        <f>KPIR!F59</f>
        <v>0</v>
      </c>
      <c r="E91" s="37">
        <f>KPIR!G59</f>
        <v>0</v>
      </c>
      <c r="F91" s="37">
        <f>KPIR!H59</f>
        <v>0</v>
      </c>
      <c r="G91" s="37">
        <f>KPIR!I59</f>
        <v>0</v>
      </c>
      <c r="H91" s="37">
        <f>KPIR!J59</f>
        <v>0</v>
      </c>
      <c r="I91" s="37">
        <f>KPIR!K59</f>
        <v>0</v>
      </c>
      <c r="J91" s="37">
        <f>KPIR!L59</f>
        <v>0</v>
      </c>
      <c r="K91" s="37">
        <f>KPIR!M59</f>
        <v>0</v>
      </c>
      <c r="L91" s="37">
        <f>KPIR!N59</f>
        <v>0</v>
      </c>
      <c r="M91" s="522">
        <f>KPIR!Q59</f>
        <v>0</v>
      </c>
      <c r="N91" s="316"/>
    </row>
    <row r="92" spans="1:15" ht="15.75" hidden="1" thickBot="1" x14ac:dyDescent="0.3">
      <c r="A92" s="523"/>
      <c r="B92" s="263" t="s">
        <v>78</v>
      </c>
      <c r="C92" s="390"/>
      <c r="D92" s="37">
        <f>'plan sprzedaży i zakupów '!C29</f>
        <v>0</v>
      </c>
      <c r="E92" s="37">
        <f>D92+'plan sprzedaży i zakupów '!D29</f>
        <v>0</v>
      </c>
      <c r="F92" s="37">
        <f>E92+'plan sprzedaży i zakupów '!E29</f>
        <v>0</v>
      </c>
      <c r="G92" s="37">
        <f>F92+'plan sprzedaży i zakupów '!F29</f>
        <v>0</v>
      </c>
      <c r="H92" s="37">
        <f>G92+'plan sprzedaży i zakupów '!G29</f>
        <v>0</v>
      </c>
      <c r="I92" s="37">
        <f>H92+'plan sprzedaży i zakupów '!H29</f>
        <v>0</v>
      </c>
      <c r="J92" s="37">
        <f>I92+'plan sprzedaży i zakupów '!I29</f>
        <v>0</v>
      </c>
      <c r="K92" s="37">
        <f>J92+'plan sprzedaży i zakupów '!J29</f>
        <v>0</v>
      </c>
      <c r="L92" s="37">
        <f>K92+'plan sprzedaży i zakupów '!K29</f>
        <v>0</v>
      </c>
      <c r="M92" s="508"/>
      <c r="N92" s="316" t="s">
        <v>340</v>
      </c>
    </row>
    <row r="93" spans="1:15" ht="17.25" customHeight="1" thickBot="1" x14ac:dyDescent="0.3">
      <c r="A93" s="693" t="s">
        <v>23</v>
      </c>
      <c r="B93" s="694" t="s">
        <v>283</v>
      </c>
      <c r="C93" s="695">
        <f>C94+C102+C109+C129</f>
        <v>0</v>
      </c>
      <c r="D93" s="695">
        <f>D94+D102+D109+D129</f>
        <v>0</v>
      </c>
      <c r="E93" s="695">
        <f t="shared" ref="E93:L93" si="43">E94+E102+E109+E129</f>
        <v>0</v>
      </c>
      <c r="F93" s="695">
        <f t="shared" si="43"/>
        <v>0</v>
      </c>
      <c r="G93" s="695">
        <f t="shared" si="43"/>
        <v>0</v>
      </c>
      <c r="H93" s="695">
        <f t="shared" si="43"/>
        <v>0</v>
      </c>
      <c r="I93" s="695">
        <f t="shared" si="43"/>
        <v>0</v>
      </c>
      <c r="J93" s="695">
        <f t="shared" si="43"/>
        <v>0</v>
      </c>
      <c r="K93" s="695">
        <f t="shared" si="43"/>
        <v>0</v>
      </c>
      <c r="L93" s="695">
        <f t="shared" si="43"/>
        <v>0</v>
      </c>
      <c r="M93" s="697">
        <f>M94+M102+M109+M129</f>
        <v>0</v>
      </c>
      <c r="N93" s="316"/>
    </row>
    <row r="94" spans="1:15" ht="12" hidden="1" customHeight="1" x14ac:dyDescent="0.25">
      <c r="A94" s="507" t="s">
        <v>19</v>
      </c>
      <c r="B94" s="380" t="s">
        <v>333</v>
      </c>
      <c r="C94" s="37"/>
      <c r="D94" s="146">
        <f>C94</f>
        <v>0</v>
      </c>
      <c r="E94" s="146">
        <f t="shared" ref="E94:L94" si="44">D94</f>
        <v>0</v>
      </c>
      <c r="F94" s="146">
        <f t="shared" si="44"/>
        <v>0</v>
      </c>
      <c r="G94" s="146">
        <f t="shared" si="44"/>
        <v>0</v>
      </c>
      <c r="H94" s="146">
        <f t="shared" si="44"/>
        <v>0</v>
      </c>
      <c r="I94" s="146">
        <f t="shared" si="44"/>
        <v>0</v>
      </c>
      <c r="J94" s="146">
        <f t="shared" si="44"/>
        <v>0</v>
      </c>
      <c r="K94" s="146">
        <f t="shared" si="44"/>
        <v>0</v>
      </c>
      <c r="L94" s="146">
        <f t="shared" si="44"/>
        <v>0</v>
      </c>
      <c r="M94" s="506"/>
      <c r="N94" s="316" t="s">
        <v>340</v>
      </c>
    </row>
    <row r="95" spans="1:15" ht="12" hidden="1" customHeight="1" x14ac:dyDescent="0.25">
      <c r="A95" s="505"/>
      <c r="B95" s="348"/>
      <c r="C95" s="114"/>
      <c r="D95" s="12"/>
      <c r="E95" s="12"/>
      <c r="F95" s="12"/>
      <c r="G95" s="12"/>
      <c r="H95" s="12"/>
      <c r="I95" s="12"/>
      <c r="J95" s="12"/>
      <c r="K95" s="40"/>
      <c r="L95" s="12"/>
      <c r="M95" s="502"/>
      <c r="N95" s="316" t="s">
        <v>340</v>
      </c>
    </row>
    <row r="96" spans="1:15" ht="12" hidden="1" customHeight="1" x14ac:dyDescent="0.25">
      <c r="A96" s="505"/>
      <c r="B96" s="348"/>
      <c r="C96" s="114"/>
      <c r="D96" s="12"/>
      <c r="E96" s="12"/>
      <c r="F96" s="12"/>
      <c r="G96" s="12"/>
      <c r="H96" s="12"/>
      <c r="I96" s="12"/>
      <c r="J96" s="12"/>
      <c r="K96" s="40"/>
      <c r="L96" s="12"/>
      <c r="M96" s="502"/>
      <c r="N96" s="316" t="s">
        <v>340</v>
      </c>
    </row>
    <row r="97" spans="1:14" ht="12" hidden="1" customHeight="1" x14ac:dyDescent="0.25">
      <c r="A97" s="505"/>
      <c r="B97" s="348"/>
      <c r="C97" s="114"/>
      <c r="D97" s="12"/>
      <c r="E97" s="12"/>
      <c r="F97" s="12"/>
      <c r="G97" s="12"/>
      <c r="H97" s="12"/>
      <c r="I97" s="12"/>
      <c r="J97" s="12"/>
      <c r="K97" s="40"/>
      <c r="L97" s="12"/>
      <c r="M97" s="502"/>
      <c r="N97" s="316" t="s">
        <v>340</v>
      </c>
    </row>
    <row r="98" spans="1:14" ht="12" hidden="1" customHeight="1" x14ac:dyDescent="0.25">
      <c r="A98" s="505"/>
      <c r="B98" s="348"/>
      <c r="C98" s="114"/>
      <c r="D98" s="12"/>
      <c r="E98" s="12"/>
      <c r="F98" s="12"/>
      <c r="G98" s="12"/>
      <c r="H98" s="12"/>
      <c r="I98" s="12"/>
      <c r="J98" s="12"/>
      <c r="K98" s="40"/>
      <c r="L98" s="12"/>
      <c r="M98" s="502"/>
      <c r="N98" s="316" t="s">
        <v>340</v>
      </c>
    </row>
    <row r="99" spans="1:14" ht="12" hidden="1" customHeight="1" x14ac:dyDescent="0.25">
      <c r="A99" s="505"/>
      <c r="B99" s="348"/>
      <c r="C99" s="114"/>
      <c r="D99" s="12"/>
      <c r="E99" s="12"/>
      <c r="F99" s="12"/>
      <c r="G99" s="12"/>
      <c r="H99" s="12"/>
      <c r="I99" s="12"/>
      <c r="J99" s="12"/>
      <c r="K99" s="40"/>
      <c r="L99" s="12"/>
      <c r="M99" s="502"/>
      <c r="N99" s="316" t="s">
        <v>340</v>
      </c>
    </row>
    <row r="100" spans="1:14" ht="12" hidden="1" customHeight="1" x14ac:dyDescent="0.25">
      <c r="A100" s="505"/>
      <c r="B100" s="348"/>
      <c r="C100" s="114"/>
      <c r="D100" s="12"/>
      <c r="E100" s="12"/>
      <c r="F100" s="12"/>
      <c r="G100" s="12"/>
      <c r="H100" s="12"/>
      <c r="I100" s="12"/>
      <c r="J100" s="12"/>
      <c r="K100" s="40"/>
      <c r="L100" s="12"/>
      <c r="M100" s="502"/>
      <c r="N100" s="316" t="s">
        <v>340</v>
      </c>
    </row>
    <row r="101" spans="1:14" ht="15" hidden="1" customHeight="1" x14ac:dyDescent="0.25">
      <c r="A101" s="505"/>
      <c r="B101" s="348"/>
      <c r="C101" s="114"/>
      <c r="D101" s="12"/>
      <c r="E101" s="12"/>
      <c r="F101" s="12"/>
      <c r="G101" s="12"/>
      <c r="H101" s="12"/>
      <c r="I101" s="12"/>
      <c r="J101" s="12"/>
      <c r="K101" s="40"/>
      <c r="L101" s="12"/>
      <c r="M101" s="502"/>
      <c r="N101" s="316" t="s">
        <v>340</v>
      </c>
    </row>
    <row r="102" spans="1:14" ht="20.65" customHeight="1" x14ac:dyDescent="0.25">
      <c r="A102" s="497" t="s">
        <v>20</v>
      </c>
      <c r="B102" s="409" t="s">
        <v>334</v>
      </c>
      <c r="C102" s="454">
        <f>SUM(C103:C104)</f>
        <v>0</v>
      </c>
      <c r="D102" s="454">
        <f t="shared" ref="D102:K102" si="45">SUM(D103:D104)</f>
        <v>0</v>
      </c>
      <c r="E102" s="454">
        <f t="shared" si="45"/>
        <v>0</v>
      </c>
      <c r="F102" s="454">
        <f t="shared" si="45"/>
        <v>0</v>
      </c>
      <c r="G102" s="454">
        <f t="shared" si="45"/>
        <v>0</v>
      </c>
      <c r="H102" s="454">
        <f t="shared" si="45"/>
        <v>0</v>
      </c>
      <c r="I102" s="454">
        <f t="shared" si="45"/>
        <v>0</v>
      </c>
      <c r="J102" s="454">
        <f t="shared" si="45"/>
        <v>0</v>
      </c>
      <c r="K102" s="460">
        <f t="shared" si="45"/>
        <v>0</v>
      </c>
      <c r="L102" s="454">
        <f t="shared" ref="L102" si="46">SUM(L103:L104)</f>
        <v>0</v>
      </c>
      <c r="M102" s="524">
        <f>SUM(M103:M104)</f>
        <v>0</v>
      </c>
      <c r="N102" s="316"/>
    </row>
    <row r="103" spans="1:14" ht="12" hidden="1" customHeight="1" x14ac:dyDescent="0.25">
      <c r="A103" s="498"/>
      <c r="B103" s="185"/>
      <c r="C103" s="12"/>
      <c r="D103" s="455">
        <f>C103</f>
        <v>0</v>
      </c>
      <c r="E103" s="455">
        <f t="shared" ref="E103:L103" si="47">D103</f>
        <v>0</v>
      </c>
      <c r="F103" s="455">
        <f t="shared" si="47"/>
        <v>0</v>
      </c>
      <c r="G103" s="455">
        <f t="shared" si="47"/>
        <v>0</v>
      </c>
      <c r="H103" s="455">
        <f t="shared" si="47"/>
        <v>0</v>
      </c>
      <c r="I103" s="455">
        <f t="shared" si="47"/>
        <v>0</v>
      </c>
      <c r="J103" s="455">
        <f t="shared" si="47"/>
        <v>0</v>
      </c>
      <c r="K103" s="455">
        <f t="shared" si="47"/>
        <v>0</v>
      </c>
      <c r="L103" s="455">
        <f t="shared" si="47"/>
        <v>0</v>
      </c>
      <c r="M103" s="503"/>
      <c r="N103" s="316"/>
    </row>
    <row r="104" spans="1:14" ht="12" hidden="1" customHeight="1" x14ac:dyDescent="0.25">
      <c r="A104" s="498"/>
      <c r="B104" s="185"/>
      <c r="C104" s="114">
        <f>SUM(C105,C108)</f>
        <v>0</v>
      </c>
      <c r="D104" s="455">
        <f t="shared" ref="D104:L104" si="48">SUM(D105,D108)</f>
        <v>0</v>
      </c>
      <c r="E104" s="455">
        <f t="shared" si="48"/>
        <v>0</v>
      </c>
      <c r="F104" s="455">
        <f t="shared" si="48"/>
        <v>0</v>
      </c>
      <c r="G104" s="455">
        <f t="shared" si="48"/>
        <v>0</v>
      </c>
      <c r="H104" s="455">
        <f t="shared" si="48"/>
        <v>0</v>
      </c>
      <c r="I104" s="455">
        <f t="shared" si="48"/>
        <v>0</v>
      </c>
      <c r="J104" s="455">
        <f t="shared" si="48"/>
        <v>0</v>
      </c>
      <c r="K104" s="455">
        <f t="shared" si="48"/>
        <v>0</v>
      </c>
      <c r="L104" s="455">
        <f t="shared" si="48"/>
        <v>0</v>
      </c>
      <c r="M104" s="502">
        <f>SUM(M105,M108)</f>
        <v>0</v>
      </c>
      <c r="N104" s="316"/>
    </row>
    <row r="105" spans="1:14" ht="12" hidden="1" customHeight="1" x14ac:dyDescent="0.25">
      <c r="A105" s="498"/>
      <c r="B105" s="185" t="s">
        <v>321</v>
      </c>
      <c r="C105" s="114">
        <f>C106+C107</f>
        <v>0</v>
      </c>
      <c r="D105" s="455">
        <f t="shared" ref="D105:L105" si="49">D106+D107</f>
        <v>0</v>
      </c>
      <c r="E105" s="455">
        <f t="shared" si="49"/>
        <v>0</v>
      </c>
      <c r="F105" s="455">
        <f t="shared" si="49"/>
        <v>0</v>
      </c>
      <c r="G105" s="455">
        <f t="shared" si="49"/>
        <v>0</v>
      </c>
      <c r="H105" s="455">
        <f t="shared" si="49"/>
        <v>0</v>
      </c>
      <c r="I105" s="455">
        <f t="shared" si="49"/>
        <v>0</v>
      </c>
      <c r="J105" s="455">
        <f t="shared" si="49"/>
        <v>0</v>
      </c>
      <c r="K105" s="455">
        <f t="shared" si="49"/>
        <v>0</v>
      </c>
      <c r="L105" s="455">
        <f t="shared" si="49"/>
        <v>0</v>
      </c>
      <c r="M105" s="502">
        <f>M106+M107</f>
        <v>0</v>
      </c>
      <c r="N105" s="316"/>
    </row>
    <row r="106" spans="1:14" x14ac:dyDescent="0.25">
      <c r="A106" s="498"/>
      <c r="B106" s="185" t="s">
        <v>391</v>
      </c>
      <c r="C106" s="114"/>
      <c r="D106" s="455">
        <f>IF(przepływy!D31=0,0,przepływy!D31+przepływy!D34+przepływy!E34)</f>
        <v>0</v>
      </c>
      <c r="E106" s="455">
        <f>IF(przepływy!D31=0,przepływy!E31+przepływy!E34+przepływy!F34,D106-E118)</f>
        <v>0</v>
      </c>
      <c r="F106" s="455">
        <f>E106-F118</f>
        <v>0</v>
      </c>
      <c r="G106" s="455">
        <f>F106-G118</f>
        <v>0</v>
      </c>
      <c r="H106" s="455">
        <f>G106-H118</f>
        <v>0</v>
      </c>
      <c r="I106" s="455">
        <f>H106-I118</f>
        <v>0</v>
      </c>
      <c r="J106" s="455">
        <f t="shared" ref="J106:L106" si="50">I106-J118</f>
        <v>0</v>
      </c>
      <c r="K106" s="455">
        <f t="shared" si="50"/>
        <v>0</v>
      </c>
      <c r="L106" s="455">
        <f t="shared" si="50"/>
        <v>0</v>
      </c>
      <c r="M106" s="502"/>
      <c r="N106" s="316"/>
    </row>
    <row r="107" spans="1:14" ht="16.5" customHeight="1" x14ac:dyDescent="0.25">
      <c r="A107" s="498"/>
      <c r="B107" s="185" t="s">
        <v>300</v>
      </c>
      <c r="C107" s="51"/>
      <c r="D107" s="455">
        <f>C107-D119+'plan sprzedaży i zakupów '!C31</f>
        <v>0</v>
      </c>
      <c r="E107" s="455">
        <f>D107-E119</f>
        <v>0</v>
      </c>
      <c r="F107" s="455">
        <f t="shared" ref="F107" si="51">E107-F119</f>
        <v>0</v>
      </c>
      <c r="G107" s="455">
        <f>F107-G119</f>
        <v>0</v>
      </c>
      <c r="H107" s="455">
        <f t="shared" ref="H107:L107" si="52">G107-H119</f>
        <v>0</v>
      </c>
      <c r="I107" s="455">
        <f t="shared" si="52"/>
        <v>0</v>
      </c>
      <c r="J107" s="455">
        <f t="shared" si="52"/>
        <v>0</v>
      </c>
      <c r="K107" s="455">
        <f t="shared" si="52"/>
        <v>0</v>
      </c>
      <c r="L107" s="455">
        <f t="shared" si="52"/>
        <v>0</v>
      </c>
      <c r="M107" s="499"/>
      <c r="N107" s="316" t="s">
        <v>340</v>
      </c>
    </row>
    <row r="108" spans="1:14" ht="12" hidden="1" customHeight="1" x14ac:dyDescent="0.25">
      <c r="A108" s="525"/>
      <c r="B108" s="185" t="s">
        <v>323</v>
      </c>
      <c r="C108" s="51"/>
      <c r="D108" s="12">
        <f>C108</f>
        <v>0</v>
      </c>
      <c r="E108" s="12">
        <f t="shared" ref="E108:L108" si="53">D108</f>
        <v>0</v>
      </c>
      <c r="F108" s="12">
        <f t="shared" si="53"/>
        <v>0</v>
      </c>
      <c r="G108" s="12">
        <f t="shared" si="53"/>
        <v>0</v>
      </c>
      <c r="H108" s="12">
        <f t="shared" si="53"/>
        <v>0</v>
      </c>
      <c r="I108" s="12">
        <f t="shared" si="53"/>
        <v>0</v>
      </c>
      <c r="J108" s="12">
        <f t="shared" si="53"/>
        <v>0</v>
      </c>
      <c r="K108" s="12">
        <f t="shared" si="53"/>
        <v>0</v>
      </c>
      <c r="L108" s="12">
        <f t="shared" si="53"/>
        <v>0</v>
      </c>
      <c r="M108" s="499"/>
      <c r="N108" s="316" t="s">
        <v>340</v>
      </c>
    </row>
    <row r="109" spans="1:14" ht="20.25" customHeight="1" x14ac:dyDescent="0.25">
      <c r="A109" s="497" t="s">
        <v>21</v>
      </c>
      <c r="B109" s="409" t="s">
        <v>335</v>
      </c>
      <c r="C109" s="454">
        <f>C116+C128</f>
        <v>0</v>
      </c>
      <c r="D109" s="108">
        <f t="shared" ref="D109:M109" si="54">D116+D128</f>
        <v>0</v>
      </c>
      <c r="E109" s="108">
        <f t="shared" si="54"/>
        <v>0</v>
      </c>
      <c r="F109" s="108">
        <f t="shared" si="54"/>
        <v>0</v>
      </c>
      <c r="G109" s="108">
        <f t="shared" si="54"/>
        <v>0</v>
      </c>
      <c r="H109" s="108">
        <f t="shared" si="54"/>
        <v>0</v>
      </c>
      <c r="I109" s="108">
        <f t="shared" si="54"/>
        <v>0</v>
      </c>
      <c r="J109" s="108">
        <f t="shared" si="54"/>
        <v>0</v>
      </c>
      <c r="K109" s="108">
        <f t="shared" si="54"/>
        <v>0</v>
      </c>
      <c r="L109" s="108">
        <f t="shared" si="54"/>
        <v>0</v>
      </c>
      <c r="M109" s="524">
        <f t="shared" si="54"/>
        <v>0</v>
      </c>
      <c r="N109" s="316"/>
    </row>
    <row r="110" spans="1:14" ht="12" hidden="1" customHeight="1" x14ac:dyDescent="0.25">
      <c r="A110" s="505"/>
      <c r="B110" s="348"/>
      <c r="C110" s="455"/>
      <c r="D110" s="12">
        <f>C110</f>
        <v>0</v>
      </c>
      <c r="E110" s="12">
        <f t="shared" ref="E110:L110" si="55">D110</f>
        <v>0</v>
      </c>
      <c r="F110" s="12">
        <f t="shared" si="55"/>
        <v>0</v>
      </c>
      <c r="G110" s="12">
        <f t="shared" si="55"/>
        <v>0</v>
      </c>
      <c r="H110" s="12">
        <f t="shared" si="55"/>
        <v>0</v>
      </c>
      <c r="I110" s="12">
        <f t="shared" si="55"/>
        <v>0</v>
      </c>
      <c r="J110" s="12">
        <f t="shared" si="55"/>
        <v>0</v>
      </c>
      <c r="K110" s="12">
        <f t="shared" si="55"/>
        <v>0</v>
      </c>
      <c r="L110" s="12">
        <f t="shared" si="55"/>
        <v>0</v>
      </c>
      <c r="M110" s="503"/>
      <c r="N110" s="316"/>
    </row>
    <row r="111" spans="1:14" ht="12" hidden="1" customHeight="1" x14ac:dyDescent="0.25">
      <c r="A111" s="505"/>
      <c r="B111" s="348"/>
      <c r="C111" s="455"/>
      <c r="D111" s="12"/>
      <c r="E111" s="12"/>
      <c r="F111" s="12"/>
      <c r="G111" s="12"/>
      <c r="H111" s="12"/>
      <c r="I111" s="12"/>
      <c r="J111" s="12"/>
      <c r="K111" s="40"/>
      <c r="L111" s="12"/>
      <c r="M111" s="503"/>
      <c r="N111" s="316"/>
    </row>
    <row r="112" spans="1:14" ht="12" hidden="1" customHeight="1" x14ac:dyDescent="0.25">
      <c r="A112" s="505"/>
      <c r="B112" s="348"/>
      <c r="C112" s="455"/>
      <c r="D112" s="12"/>
      <c r="E112" s="12"/>
      <c r="F112" s="12"/>
      <c r="G112" s="12"/>
      <c r="H112" s="12"/>
      <c r="I112" s="12"/>
      <c r="J112" s="12"/>
      <c r="K112" s="40"/>
      <c r="L112" s="12"/>
      <c r="M112" s="503"/>
      <c r="N112" s="316"/>
    </row>
    <row r="113" spans="1:14" ht="12" hidden="1" customHeight="1" x14ac:dyDescent="0.25">
      <c r="A113" s="505"/>
      <c r="B113" s="348"/>
      <c r="C113" s="455"/>
      <c r="D113" s="12"/>
      <c r="E113" s="12"/>
      <c r="F113" s="12"/>
      <c r="G113" s="12"/>
      <c r="H113" s="12"/>
      <c r="I113" s="12"/>
      <c r="J113" s="12"/>
      <c r="K113" s="40"/>
      <c r="L113" s="12"/>
      <c r="M113" s="503"/>
      <c r="N113" s="316"/>
    </row>
    <row r="114" spans="1:14" ht="12" hidden="1" customHeight="1" x14ac:dyDescent="0.25">
      <c r="A114" s="505"/>
      <c r="B114" s="387"/>
      <c r="C114" s="455"/>
      <c r="D114" s="12"/>
      <c r="E114" s="12"/>
      <c r="F114" s="12"/>
      <c r="G114" s="12"/>
      <c r="H114" s="12"/>
      <c r="I114" s="12"/>
      <c r="J114" s="12"/>
      <c r="K114" s="40"/>
      <c r="L114" s="12"/>
      <c r="M114" s="503"/>
      <c r="N114" s="316"/>
    </row>
    <row r="115" spans="1:14" ht="12" hidden="1" customHeight="1" x14ac:dyDescent="0.25">
      <c r="A115" s="505"/>
      <c r="B115" s="348"/>
      <c r="C115" s="455"/>
      <c r="D115" s="12"/>
      <c r="E115" s="12"/>
      <c r="F115" s="12"/>
      <c r="G115" s="12"/>
      <c r="H115" s="12"/>
      <c r="I115" s="12"/>
      <c r="J115" s="12"/>
      <c r="K115" s="40"/>
      <c r="L115" s="12"/>
      <c r="M115" s="503"/>
      <c r="N115" s="316"/>
    </row>
    <row r="116" spans="1:14" ht="14.25" hidden="1" customHeight="1" x14ac:dyDescent="0.25">
      <c r="A116" s="505" t="s">
        <v>36</v>
      </c>
      <c r="B116" s="348" t="str">
        <f>[1]Arkusz1!B119</f>
        <v>Wobec pozostałych jednostek</v>
      </c>
      <c r="C116" s="455">
        <f>C117+C120+C127</f>
        <v>0</v>
      </c>
      <c r="D116" s="12">
        <f>D117+D120+D127</f>
        <v>0</v>
      </c>
      <c r="E116" s="12">
        <f t="shared" ref="E116:L116" si="56">E117+E120+E127</f>
        <v>0</v>
      </c>
      <c r="F116" s="12">
        <f t="shared" si="56"/>
        <v>0</v>
      </c>
      <c r="G116" s="12">
        <f t="shared" si="56"/>
        <v>0</v>
      </c>
      <c r="H116" s="12">
        <f t="shared" si="56"/>
        <v>0</v>
      </c>
      <c r="I116" s="12">
        <f t="shared" si="56"/>
        <v>0</v>
      </c>
      <c r="J116" s="12">
        <f t="shared" si="56"/>
        <v>0</v>
      </c>
      <c r="K116" s="12">
        <f t="shared" si="56"/>
        <v>0</v>
      </c>
      <c r="L116" s="12">
        <f t="shared" si="56"/>
        <v>0</v>
      </c>
      <c r="M116" s="502">
        <f>M117+M120+M127</f>
        <v>0</v>
      </c>
      <c r="N116" s="316"/>
    </row>
    <row r="117" spans="1:14" ht="12" customHeight="1" x14ac:dyDescent="0.25">
      <c r="A117" s="498"/>
      <c r="B117" s="185" t="s">
        <v>321</v>
      </c>
      <c r="C117" s="455">
        <f>C118+C119</f>
        <v>0</v>
      </c>
      <c r="D117" s="455">
        <f t="shared" ref="D117:L117" si="57">D118+D119</f>
        <v>0</v>
      </c>
      <c r="E117" s="455">
        <f t="shared" si="57"/>
        <v>0</v>
      </c>
      <c r="F117" s="455">
        <f t="shared" si="57"/>
        <v>0</v>
      </c>
      <c r="G117" s="455">
        <f t="shared" si="57"/>
        <v>0</v>
      </c>
      <c r="H117" s="455">
        <f t="shared" si="57"/>
        <v>0</v>
      </c>
      <c r="I117" s="455">
        <f t="shared" si="57"/>
        <v>0</v>
      </c>
      <c r="J117" s="455">
        <f t="shared" si="57"/>
        <v>0</v>
      </c>
      <c r="K117" s="455">
        <f t="shared" si="57"/>
        <v>0</v>
      </c>
      <c r="L117" s="455">
        <f t="shared" si="57"/>
        <v>0</v>
      </c>
      <c r="M117" s="502">
        <f>M118+M119</f>
        <v>0</v>
      </c>
      <c r="N117" s="316"/>
    </row>
    <row r="118" spans="1:14" ht="12" customHeight="1" x14ac:dyDescent="0.25">
      <c r="A118" s="498"/>
      <c r="B118" s="185" t="s">
        <v>392</v>
      </c>
      <c r="C118" s="455"/>
      <c r="D118" s="455">
        <f>IF(przepływy!D31=0,0,-przepływy!E34)</f>
        <v>0</v>
      </c>
      <c r="E118" s="455">
        <f>-przepływy!F34</f>
        <v>0</v>
      </c>
      <c r="F118" s="455">
        <f>-przepływy!G34</f>
        <v>0</v>
      </c>
      <c r="G118" s="455">
        <f>-przepływy!H34</f>
        <v>0</v>
      </c>
      <c r="H118" s="455">
        <f>-przepływy!I34</f>
        <v>0</v>
      </c>
      <c r="I118" s="455">
        <f>-przepływy!J34</f>
        <v>0</v>
      </c>
      <c r="J118" s="455">
        <f>-przepływy!K34</f>
        <v>0</v>
      </c>
      <c r="K118" s="455">
        <f>-przepływy!L34</f>
        <v>0</v>
      </c>
      <c r="L118" s="455">
        <f>-przepływy!M34</f>
        <v>0</v>
      </c>
      <c r="M118" s="502"/>
      <c r="N118" s="316"/>
    </row>
    <row r="119" spans="1:14" ht="16.5" customHeight="1" x14ac:dyDescent="0.25">
      <c r="A119" s="498"/>
      <c r="B119" s="185" t="s">
        <v>80</v>
      </c>
      <c r="C119" s="455">
        <f>-'plan sprzedaży i zakupów '!C25</f>
        <v>0</v>
      </c>
      <c r="D119" s="455">
        <f>-'plan sprzedaży i zakupów '!D25</f>
        <v>0</v>
      </c>
      <c r="E119" s="455">
        <f>-'plan sprzedaży i zakupów '!E25</f>
        <v>0</v>
      </c>
      <c r="F119" s="455">
        <f>-'plan sprzedaży i zakupów '!F25</f>
        <v>0</v>
      </c>
      <c r="G119" s="455">
        <f>-'plan sprzedaży i zakupów '!G25</f>
        <v>0</v>
      </c>
      <c r="H119" s="455">
        <f>-'plan sprzedaży i zakupów '!H25</f>
        <v>0</v>
      </c>
      <c r="I119" s="455">
        <f>-'plan sprzedaży i zakupów '!I25</f>
        <v>0</v>
      </c>
      <c r="J119" s="455">
        <f>-'plan sprzedaży i zakupów '!J25</f>
        <v>0</v>
      </c>
      <c r="K119" s="455">
        <f>-'plan sprzedaży i zakupów '!K25</f>
        <v>0</v>
      </c>
      <c r="L119" s="455">
        <f>-'plan sprzedaży i zakupów '!L25</f>
        <v>0</v>
      </c>
      <c r="M119" s="499"/>
      <c r="N119" s="316" t="s">
        <v>364</v>
      </c>
    </row>
    <row r="120" spans="1:14" ht="15.4" customHeight="1" thickBot="1" x14ac:dyDescent="0.3">
      <c r="A120" s="526"/>
      <c r="B120" s="527" t="s">
        <v>401</v>
      </c>
      <c r="C120" s="528"/>
      <c r="D120" s="529">
        <f>'POŻYCZKA I'!E13+bilans!C120</f>
        <v>0</v>
      </c>
      <c r="E120" s="529">
        <f>'POŻYCZKA I'!F13+bilans!D120</f>
        <v>0</v>
      </c>
      <c r="F120" s="529">
        <f>'POŻYCZKA I'!G13+bilans!E120</f>
        <v>0</v>
      </c>
      <c r="G120" s="529">
        <f>'POŻYCZKA I'!H13+bilans!F120</f>
        <v>0</v>
      </c>
      <c r="H120" s="529">
        <f>'POŻYCZKA I'!I13+bilans!G120</f>
        <v>0</v>
      </c>
      <c r="I120" s="529">
        <f>'POŻYCZKA I'!J13+bilans!H120</f>
        <v>0</v>
      </c>
      <c r="J120" s="529">
        <f>'POŻYCZKA I'!K13+bilans!I120</f>
        <v>0</v>
      </c>
      <c r="K120" s="529">
        <f>'POŻYCZKA I'!L13+bilans!J120</f>
        <v>0</v>
      </c>
      <c r="L120" s="529">
        <f>'POŻYCZKA I'!M13+bilans!K120</f>
        <v>0</v>
      </c>
      <c r="M120" s="530"/>
      <c r="N120" s="316" t="s">
        <v>340</v>
      </c>
    </row>
    <row r="121" spans="1:14" ht="14.25" hidden="1" customHeight="1" x14ac:dyDescent="0.25">
      <c r="A121" s="489"/>
      <c r="B121" s="490"/>
      <c r="C121" s="491"/>
      <c r="D121" s="492"/>
      <c r="E121" s="492"/>
      <c r="F121" s="492"/>
      <c r="G121" s="492"/>
      <c r="H121" s="492"/>
      <c r="I121" s="492"/>
      <c r="J121" s="492"/>
      <c r="K121" s="492"/>
      <c r="L121" s="492"/>
      <c r="M121" s="491"/>
      <c r="N121" s="316" t="s">
        <v>340</v>
      </c>
    </row>
    <row r="122" spans="1:14" ht="14.25" hidden="1" customHeight="1" x14ac:dyDescent="0.25">
      <c r="A122" s="407"/>
      <c r="B122" s="185"/>
      <c r="C122" s="51"/>
      <c r="D122" s="12"/>
      <c r="E122" s="12"/>
      <c r="F122" s="12"/>
      <c r="G122" s="12"/>
      <c r="H122" s="12"/>
      <c r="I122" s="12"/>
      <c r="J122" s="12"/>
      <c r="K122" s="40"/>
      <c r="L122" s="12"/>
      <c r="M122" s="51"/>
      <c r="N122" s="316" t="s">
        <v>340</v>
      </c>
    </row>
    <row r="123" spans="1:14" ht="14.25" hidden="1" customHeight="1" x14ac:dyDescent="0.25">
      <c r="A123" s="407"/>
      <c r="B123" s="185"/>
      <c r="C123" s="51"/>
      <c r="D123" s="12"/>
      <c r="E123" s="12"/>
      <c r="F123" s="12"/>
      <c r="G123" s="12"/>
      <c r="H123" s="12"/>
      <c r="I123" s="12"/>
      <c r="J123" s="12"/>
      <c r="K123" s="40"/>
      <c r="L123" s="12"/>
      <c r="M123" s="51"/>
      <c r="N123" s="316" t="s">
        <v>340</v>
      </c>
    </row>
    <row r="124" spans="1:14" ht="14.25" hidden="1" customHeight="1" x14ac:dyDescent="0.25">
      <c r="A124" s="407"/>
      <c r="B124" s="185"/>
      <c r="C124" s="51"/>
      <c r="D124" s="12"/>
      <c r="E124" s="12"/>
      <c r="F124" s="12"/>
      <c r="G124" s="12"/>
      <c r="H124" s="12"/>
      <c r="I124" s="12"/>
      <c r="J124" s="12"/>
      <c r="K124" s="40"/>
      <c r="L124" s="12"/>
      <c r="M124" s="51"/>
      <c r="N124" s="316" t="s">
        <v>340</v>
      </c>
    </row>
    <row r="125" spans="1:14" ht="14.25" hidden="1" customHeight="1" x14ac:dyDescent="0.25">
      <c r="A125" s="407"/>
      <c r="B125" s="185"/>
      <c r="C125" s="51"/>
      <c r="D125" s="12"/>
      <c r="E125" s="12"/>
      <c r="F125" s="12"/>
      <c r="G125" s="12"/>
      <c r="H125" s="12"/>
      <c r="I125" s="12"/>
      <c r="J125" s="12"/>
      <c r="K125" s="40"/>
      <c r="L125" s="12"/>
      <c r="M125" s="51"/>
      <c r="N125" s="316" t="s">
        <v>340</v>
      </c>
    </row>
    <row r="126" spans="1:14" ht="14.25" hidden="1" customHeight="1" x14ac:dyDescent="0.25">
      <c r="A126" s="407"/>
      <c r="B126" s="185"/>
      <c r="C126" s="51"/>
      <c r="D126" s="12"/>
      <c r="E126" s="12"/>
      <c r="F126" s="12"/>
      <c r="G126" s="12"/>
      <c r="H126" s="12"/>
      <c r="I126" s="12"/>
      <c r="J126" s="12"/>
      <c r="K126" s="40"/>
      <c r="L126" s="12"/>
      <c r="M126" s="51"/>
      <c r="N126" s="316" t="s">
        <v>340</v>
      </c>
    </row>
    <row r="127" spans="1:14" ht="14.25" hidden="1" customHeight="1" x14ac:dyDescent="0.25">
      <c r="A127" s="407"/>
      <c r="B127" s="185" t="s">
        <v>78</v>
      </c>
      <c r="C127" s="51"/>
      <c r="D127" s="12">
        <f>C127</f>
        <v>0</v>
      </c>
      <c r="E127" s="12">
        <f t="shared" ref="E127:L127" si="58">D127</f>
        <v>0</v>
      </c>
      <c r="F127" s="12">
        <f t="shared" si="58"/>
        <v>0</v>
      </c>
      <c r="G127" s="12">
        <f t="shared" si="58"/>
        <v>0</v>
      </c>
      <c r="H127" s="12">
        <f t="shared" si="58"/>
        <v>0</v>
      </c>
      <c r="I127" s="12">
        <f t="shared" si="58"/>
        <v>0</v>
      </c>
      <c r="J127" s="12">
        <f t="shared" si="58"/>
        <v>0</v>
      </c>
      <c r="K127" s="12">
        <f t="shared" si="58"/>
        <v>0</v>
      </c>
      <c r="L127" s="12">
        <f t="shared" si="58"/>
        <v>0</v>
      </c>
      <c r="M127" s="51"/>
      <c r="N127" s="316" t="s">
        <v>340</v>
      </c>
    </row>
    <row r="128" spans="1:14" ht="14.25" hidden="1" customHeight="1" x14ac:dyDescent="0.25">
      <c r="A128" s="119"/>
      <c r="B128" s="388" t="s">
        <v>336</v>
      </c>
      <c r="C128" s="12"/>
      <c r="D128" s="12">
        <f>C128</f>
        <v>0</v>
      </c>
      <c r="E128" s="12">
        <f t="shared" ref="E128:L128" si="59">D128</f>
        <v>0</v>
      </c>
      <c r="F128" s="12">
        <f t="shared" si="59"/>
        <v>0</v>
      </c>
      <c r="G128" s="12">
        <f t="shared" si="59"/>
        <v>0</v>
      </c>
      <c r="H128" s="12">
        <f t="shared" si="59"/>
        <v>0</v>
      </c>
      <c r="I128" s="12">
        <f t="shared" si="59"/>
        <v>0</v>
      </c>
      <c r="J128" s="12">
        <f t="shared" si="59"/>
        <v>0</v>
      </c>
      <c r="K128" s="12">
        <f t="shared" si="59"/>
        <v>0</v>
      </c>
      <c r="L128" s="12">
        <f t="shared" si="59"/>
        <v>0</v>
      </c>
      <c r="M128" s="12"/>
    </row>
    <row r="129" spans="1:16" ht="14.25" hidden="1" customHeight="1" x14ac:dyDescent="0.25">
      <c r="A129" s="263" t="s">
        <v>22</v>
      </c>
      <c r="B129" s="263" t="s">
        <v>337</v>
      </c>
      <c r="C129" s="390"/>
      <c r="D129" s="37">
        <f>C129</f>
        <v>0</v>
      </c>
      <c r="E129" s="37">
        <f t="shared" ref="E129:L129" si="60">D129</f>
        <v>0</v>
      </c>
      <c r="F129" s="37">
        <f t="shared" si="60"/>
        <v>0</v>
      </c>
      <c r="G129" s="37">
        <f t="shared" si="60"/>
        <v>0</v>
      </c>
      <c r="H129" s="37">
        <f t="shared" si="60"/>
        <v>0</v>
      </c>
      <c r="I129" s="37">
        <f t="shared" si="60"/>
        <v>0</v>
      </c>
      <c r="J129" s="37">
        <f t="shared" si="60"/>
        <v>0</v>
      </c>
      <c r="K129" s="37">
        <f t="shared" si="60"/>
        <v>0</v>
      </c>
      <c r="L129" s="37">
        <f t="shared" si="60"/>
        <v>0</v>
      </c>
      <c r="M129" s="390"/>
    </row>
    <row r="130" spans="1:16" ht="14.25" hidden="1" customHeight="1" x14ac:dyDescent="0.25">
      <c r="A130" s="119"/>
      <c r="B130" s="348"/>
      <c r="C130" s="12"/>
      <c r="D130" s="12"/>
      <c r="E130" s="12"/>
      <c r="F130" s="12"/>
      <c r="G130" s="12"/>
      <c r="H130" s="12"/>
      <c r="I130" s="12"/>
      <c r="J130" s="12"/>
      <c r="K130" s="40"/>
      <c r="L130" s="12"/>
      <c r="M130" s="12"/>
    </row>
    <row r="131" spans="1:16" ht="14.25" hidden="1" customHeight="1" x14ac:dyDescent="0.25">
      <c r="A131" s="119"/>
      <c r="B131" s="348"/>
      <c r="C131" s="12"/>
      <c r="D131" s="12"/>
      <c r="E131" s="12"/>
      <c r="F131" s="12"/>
      <c r="G131" s="12"/>
      <c r="H131" s="12"/>
      <c r="I131" s="12"/>
      <c r="J131" s="12"/>
      <c r="K131" s="40"/>
      <c r="L131" s="12"/>
      <c r="M131" s="12"/>
    </row>
    <row r="132" spans="1:16" ht="14.25" hidden="1" customHeight="1" x14ac:dyDescent="0.25">
      <c r="A132" s="119"/>
      <c r="B132" s="348"/>
      <c r="C132" s="12"/>
      <c r="D132" s="12"/>
      <c r="E132" s="12"/>
      <c r="F132" s="12"/>
      <c r="G132" s="12"/>
      <c r="H132" s="12"/>
      <c r="I132" s="12"/>
      <c r="J132" s="12"/>
      <c r="K132" s="40"/>
      <c r="L132" s="12"/>
      <c r="M132" s="12"/>
    </row>
    <row r="133" spans="1:16" ht="14.65" hidden="1" customHeight="1" thickBot="1" x14ac:dyDescent="0.3">
      <c r="A133" s="308"/>
      <c r="B133" s="389"/>
      <c r="C133" s="115"/>
      <c r="D133" s="115"/>
      <c r="E133" s="115"/>
      <c r="F133" s="115"/>
      <c r="G133" s="115"/>
      <c r="H133" s="115"/>
      <c r="I133" s="115"/>
      <c r="J133" s="115"/>
      <c r="K133" s="309"/>
      <c r="L133" s="115"/>
      <c r="M133" s="115"/>
    </row>
    <row r="134" spans="1:16" ht="12" customHeight="1" x14ac:dyDescent="0.25">
      <c r="A134" s="120"/>
      <c r="B134" s="383" t="str">
        <f>[1]Arkusz1!B137</f>
        <v>SUMA PASYWÓW</v>
      </c>
      <c r="C134" s="121">
        <f>C83+C93</f>
        <v>0</v>
      </c>
      <c r="D134" s="121">
        <f t="shared" ref="D134:L134" si="61">D83+D93</f>
        <v>0</v>
      </c>
      <c r="E134" s="121">
        <f t="shared" si="61"/>
        <v>0</v>
      </c>
      <c r="F134" s="121">
        <f t="shared" si="61"/>
        <v>0</v>
      </c>
      <c r="G134" s="121">
        <f t="shared" si="61"/>
        <v>0</v>
      </c>
      <c r="H134" s="121">
        <f t="shared" si="61"/>
        <v>0</v>
      </c>
      <c r="I134" s="121">
        <f t="shared" si="61"/>
        <v>0</v>
      </c>
      <c r="J134" s="121">
        <f t="shared" si="61"/>
        <v>0</v>
      </c>
      <c r="K134" s="121">
        <f t="shared" si="61"/>
        <v>0</v>
      </c>
      <c r="L134" s="121">
        <f t="shared" si="61"/>
        <v>0</v>
      </c>
      <c r="M134" s="121">
        <f>M83+M93</f>
        <v>0</v>
      </c>
    </row>
    <row r="135" spans="1:16" ht="6.75" customHeight="1" x14ac:dyDescent="0.25">
      <c r="A135" s="13"/>
      <c r="B135" s="14"/>
      <c r="C135" s="15"/>
      <c r="D135" s="15">
        <f t="shared" ref="D135:L135" si="62">D80-D134</f>
        <v>0</v>
      </c>
      <c r="E135" s="15">
        <f t="shared" si="62"/>
        <v>0</v>
      </c>
      <c r="F135" s="15">
        <f t="shared" si="62"/>
        <v>0</v>
      </c>
      <c r="G135" s="15">
        <f t="shared" si="62"/>
        <v>0</v>
      </c>
      <c r="H135" s="15">
        <f t="shared" si="62"/>
        <v>0</v>
      </c>
      <c r="I135" s="15">
        <f t="shared" si="62"/>
        <v>0</v>
      </c>
      <c r="J135" s="15">
        <f t="shared" si="62"/>
        <v>0</v>
      </c>
      <c r="K135" s="15">
        <f t="shared" si="62"/>
        <v>0</v>
      </c>
      <c r="L135" s="15">
        <f t="shared" si="62"/>
        <v>0</v>
      </c>
    </row>
    <row r="136" spans="1:16" ht="12" customHeight="1" x14ac:dyDescent="0.25">
      <c r="A136" s="392"/>
      <c r="C136" s="17"/>
      <c r="D136" s="17"/>
      <c r="E136" s="17"/>
      <c r="F136" s="17"/>
      <c r="G136" s="17"/>
      <c r="H136" s="17"/>
      <c r="I136" s="17"/>
      <c r="J136" s="17"/>
      <c r="K136" s="17"/>
      <c r="L136" s="17"/>
    </row>
    <row r="137" spans="1:16" ht="12" customHeight="1" x14ac:dyDescent="0.25">
      <c r="A137" s="16"/>
      <c r="B137" s="16"/>
      <c r="C137" s="16"/>
      <c r="D137" s="147">
        <f>D135-C135</f>
        <v>0</v>
      </c>
      <c r="E137" s="147">
        <f>E135-D135</f>
        <v>0</v>
      </c>
      <c r="F137" s="147">
        <f t="shared" ref="F137:I137" si="63">F135-E135</f>
        <v>0</v>
      </c>
      <c r="G137" s="147">
        <f t="shared" si="63"/>
        <v>0</v>
      </c>
      <c r="H137" s="147">
        <f t="shared" si="63"/>
        <v>0</v>
      </c>
      <c r="I137" s="147">
        <f t="shared" si="63"/>
        <v>0</v>
      </c>
      <c r="J137" s="16"/>
      <c r="K137" s="16"/>
      <c r="L137" s="16"/>
    </row>
    <row r="138" spans="1:16" ht="12" customHeight="1" x14ac:dyDescent="0.25">
      <c r="A138" s="16"/>
      <c r="B138" s="535"/>
      <c r="C138" s="536"/>
      <c r="D138" s="536"/>
      <c r="E138" s="18"/>
      <c r="F138" s="18"/>
      <c r="G138" s="18"/>
      <c r="H138" s="18"/>
      <c r="I138" s="18"/>
      <c r="J138" s="18"/>
      <c r="K138" s="18"/>
      <c r="L138" s="18"/>
      <c r="P138" s="79"/>
    </row>
    <row r="139" spans="1:16" ht="12" customHeight="1" x14ac:dyDescent="0.25">
      <c r="A139" s="16"/>
      <c r="B139" s="538"/>
      <c r="C139" s="537"/>
      <c r="D139" s="537"/>
      <c r="E139" s="16"/>
      <c r="F139" s="16"/>
      <c r="G139" s="16"/>
      <c r="H139" s="16"/>
      <c r="I139" s="16"/>
      <c r="J139" s="16"/>
      <c r="K139" s="16"/>
      <c r="L139" s="16"/>
    </row>
    <row r="140" spans="1:16" ht="12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1:16" ht="12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1:16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1:16" x14ac:dyDescent="0.25">
      <c r="A143" s="16"/>
      <c r="B143" s="16"/>
      <c r="C143" s="19"/>
      <c r="D143" s="20"/>
      <c r="E143" s="20"/>
      <c r="F143" s="20"/>
      <c r="G143" s="20"/>
      <c r="H143" s="20"/>
      <c r="I143" s="20"/>
      <c r="J143" s="20"/>
      <c r="K143" s="20"/>
      <c r="L143" s="20"/>
    </row>
  </sheetData>
  <sheetProtection sheet="1" objects="1" scenarios="1"/>
  <mergeCells count="1">
    <mergeCell ref="B2:M2"/>
  </mergeCells>
  <printOptions horizontalCentered="1" verticalCentered="1"/>
  <pageMargins left="0.51181102362204722" right="0.11811023622047245" top="0.35433070866141736" bottom="0.35433070866141736" header="0.31496062992125984" footer="0.31496062992125984"/>
  <pageSetup paperSize="9" scale="12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93"/>
  <sheetViews>
    <sheetView showGridLines="0" view="pageBreakPreview" zoomScale="75" zoomScaleNormal="95" zoomScaleSheetLayoutView="75" workbookViewId="0">
      <selection activeCell="I23" sqref="I23"/>
    </sheetView>
  </sheetViews>
  <sheetFormatPr defaultColWidth="9.140625" defaultRowHeight="15" x14ac:dyDescent="0.25"/>
  <cols>
    <col min="1" max="1" width="58.5703125" style="54" customWidth="1"/>
    <col min="2" max="2" width="11.42578125" style="54" customWidth="1"/>
    <col min="3" max="3" width="14.5703125" style="54" customWidth="1"/>
    <col min="4" max="4" width="10.140625" style="54" bestFit="1" customWidth="1"/>
    <col min="5" max="8" width="9.140625" style="54"/>
    <col min="9" max="9" width="9.7109375" style="54" customWidth="1"/>
    <col min="10" max="12" width="9.140625" style="54"/>
    <col min="13" max="13" width="40.28515625" style="54" customWidth="1"/>
    <col min="14" max="15" width="9.140625" style="54"/>
    <col min="16" max="16" width="113.7109375" style="54" customWidth="1"/>
    <col min="17" max="29" width="9.140625" style="54"/>
    <col min="30" max="40" width="9.140625" style="54" hidden="1" customWidth="1"/>
    <col min="41" max="16384" width="9.140625" style="54"/>
  </cols>
  <sheetData>
    <row r="1" spans="1:39" ht="24" customHeight="1" thickBot="1" x14ac:dyDescent="0.4">
      <c r="I1" s="808"/>
      <c r="J1" s="808"/>
      <c r="K1" s="808"/>
      <c r="L1" s="808"/>
      <c r="M1" s="565"/>
      <c r="N1" s="565"/>
      <c r="O1" s="565"/>
      <c r="P1" s="83" t="s">
        <v>86</v>
      </c>
      <c r="AE1" s="805" t="s">
        <v>309</v>
      </c>
      <c r="AF1" s="805"/>
      <c r="AG1" s="805"/>
      <c r="AH1" s="805"/>
      <c r="AI1" s="805"/>
      <c r="AJ1" s="805"/>
      <c r="AK1" s="805"/>
      <c r="AL1" s="805"/>
      <c r="AM1" s="805"/>
    </row>
    <row r="2" spans="1:39" ht="47.25" thickBot="1" x14ac:dyDescent="0.4">
      <c r="A2" s="264" t="s">
        <v>394</v>
      </c>
      <c r="B2" s="265" t="s">
        <v>270</v>
      </c>
      <c r="C2" s="266" t="s">
        <v>271</v>
      </c>
      <c r="I2" s="808"/>
      <c r="J2" s="808"/>
      <c r="K2" s="808"/>
      <c r="L2" s="808"/>
      <c r="N2" s="84"/>
      <c r="O2" s="85" t="s">
        <v>87</v>
      </c>
      <c r="P2" s="86" t="s">
        <v>88</v>
      </c>
      <c r="AE2" s="267" t="s">
        <v>16</v>
      </c>
      <c r="AF2" s="267" t="s">
        <v>17</v>
      </c>
      <c r="AG2" s="267" t="s">
        <v>13</v>
      </c>
      <c r="AH2" s="267" t="s">
        <v>14</v>
      </c>
      <c r="AI2" s="267" t="s">
        <v>15</v>
      </c>
      <c r="AJ2" s="267" t="s">
        <v>82</v>
      </c>
      <c r="AK2" s="267" t="s">
        <v>83</v>
      </c>
      <c r="AL2" s="267" t="s">
        <v>84</v>
      </c>
      <c r="AM2" s="267" t="s">
        <v>85</v>
      </c>
    </row>
    <row r="3" spans="1:39" ht="15.75" thickBot="1" x14ac:dyDescent="0.3">
      <c r="A3" s="698" t="s">
        <v>282</v>
      </c>
      <c r="B3" s="699" t="s">
        <v>269</v>
      </c>
      <c r="C3" s="700">
        <f>C5+C4</f>
        <v>0</v>
      </c>
      <c r="F3" s="259"/>
      <c r="N3" s="87"/>
      <c r="O3" s="88"/>
      <c r="P3" s="89"/>
      <c r="AE3" s="122">
        <f>AE4+AE5</f>
        <v>0</v>
      </c>
      <c r="AF3" s="122">
        <f t="shared" ref="AF3:AM3" si="0">AF4+AF5</f>
        <v>0</v>
      </c>
      <c r="AG3" s="122">
        <f t="shared" si="0"/>
        <v>0</v>
      </c>
      <c r="AH3" s="122">
        <f t="shared" si="0"/>
        <v>0</v>
      </c>
      <c r="AI3" s="122">
        <f t="shared" si="0"/>
        <v>0</v>
      </c>
      <c r="AJ3" s="122">
        <f t="shared" si="0"/>
        <v>0</v>
      </c>
      <c r="AK3" s="122">
        <f t="shared" si="0"/>
        <v>0</v>
      </c>
      <c r="AL3" s="122">
        <f t="shared" si="0"/>
        <v>0</v>
      </c>
      <c r="AM3" s="122">
        <f t="shared" si="0"/>
        <v>0</v>
      </c>
    </row>
    <row r="4" spans="1:39" ht="15.75" thickBot="1" x14ac:dyDescent="0.3">
      <c r="A4" s="257"/>
      <c r="B4" s="107"/>
      <c r="C4" s="135"/>
      <c r="D4" s="318" t="s">
        <v>409</v>
      </c>
      <c r="N4" s="90"/>
      <c r="O4" s="103">
        <v>11</v>
      </c>
      <c r="P4" s="104" t="s">
        <v>89</v>
      </c>
      <c r="AE4" s="123">
        <f>B4*C4</f>
        <v>0</v>
      </c>
      <c r="AF4" s="123">
        <f>IF($AE4*2&lt;=C4,$AE4,0)</f>
        <v>0</v>
      </c>
      <c r="AG4" s="123">
        <f>IF($AE4*3&lt;=$C4,$AE4,0)</f>
        <v>0</v>
      </c>
      <c r="AH4" s="123">
        <f>IF($AE4*4&lt;=$C4,$AE4,0)</f>
        <v>0</v>
      </c>
      <c r="AI4" s="123">
        <f>IF($AE4*5&lt;=$C4,$AE4,0)</f>
        <v>0</v>
      </c>
      <c r="AJ4" s="123">
        <f>IF($AE4*6&lt;=$C4,$AE4,0)</f>
        <v>0</v>
      </c>
      <c r="AK4" s="123">
        <f>IF($AE4*7&lt;=$C4,$AE4,0)</f>
        <v>0</v>
      </c>
      <c r="AL4" s="123">
        <f>IF($AE4*8&lt;=$C4,$AE4,0)</f>
        <v>0</v>
      </c>
      <c r="AM4" s="123">
        <f>IF($AE4*9&lt;=$C4,$AE4,0)</f>
        <v>0</v>
      </c>
    </row>
    <row r="5" spans="1:39" ht="15.75" thickBot="1" x14ac:dyDescent="0.3">
      <c r="A5" s="257"/>
      <c r="B5" s="105"/>
      <c r="C5" s="135"/>
      <c r="D5" s="318" t="s">
        <v>409</v>
      </c>
      <c r="N5" s="93"/>
      <c r="O5" s="101">
        <v>122</v>
      </c>
      <c r="P5" s="102" t="s">
        <v>90</v>
      </c>
      <c r="AE5" s="123">
        <f>B5*C5</f>
        <v>0</v>
      </c>
      <c r="AF5" s="123">
        <f>IF($AE5*2&lt;=C5,$AE5,0)</f>
        <v>0</v>
      </c>
      <c r="AG5" s="123">
        <f>IF($AE5*3&lt;=$C5,$AE5,0)</f>
        <v>0</v>
      </c>
      <c r="AH5" s="123">
        <f>IF($AE5*4&lt;=$C5,$AE5,0)</f>
        <v>0</v>
      </c>
      <c r="AI5" s="123">
        <f>IF($AE5*5&lt;=$C5,$AE5,0)</f>
        <v>0</v>
      </c>
      <c r="AJ5" s="123">
        <f>IF($AE5*6&lt;=$C5,$AE5,0)</f>
        <v>0</v>
      </c>
      <c r="AK5" s="123">
        <f>IF($AE5*7&lt;=$C5,$AE5,0)</f>
        <v>0</v>
      </c>
      <c r="AL5" s="123">
        <f>IF($AE5*8&lt;=$C5,$AE5,0)</f>
        <v>0</v>
      </c>
      <c r="AM5" s="123">
        <f>IF($AE5*9&lt;=$C5,$AE5,0)</f>
        <v>0</v>
      </c>
    </row>
    <row r="6" spans="1:39" ht="15.75" thickBot="1" x14ac:dyDescent="0.3">
      <c r="A6" s="701" t="s">
        <v>4</v>
      </c>
      <c r="B6" s="699" t="s">
        <v>269</v>
      </c>
      <c r="C6" s="702">
        <f>SUM(C7:C8)</f>
        <v>0</v>
      </c>
      <c r="D6" s="318"/>
      <c r="N6" s="100">
        <v>1</v>
      </c>
      <c r="O6" s="101">
        <v>10</v>
      </c>
      <c r="P6" s="102" t="s">
        <v>91</v>
      </c>
      <c r="AE6" s="124"/>
      <c r="AF6" s="125"/>
      <c r="AG6" s="125"/>
      <c r="AH6" s="125"/>
      <c r="AI6" s="125"/>
      <c r="AJ6" s="125"/>
      <c r="AK6" s="125"/>
      <c r="AL6" s="125"/>
      <c r="AM6" s="126"/>
    </row>
    <row r="7" spans="1:39" ht="15.75" thickBot="1" x14ac:dyDescent="0.3">
      <c r="A7" s="268" t="s">
        <v>5</v>
      </c>
      <c r="B7" s="710">
        <v>0</v>
      </c>
      <c r="C7" s="135"/>
      <c r="D7" s="318" t="s">
        <v>342</v>
      </c>
      <c r="N7" s="93">
        <v>1</v>
      </c>
      <c r="O7" s="94">
        <v>110</v>
      </c>
      <c r="P7" s="95" t="s">
        <v>92</v>
      </c>
      <c r="AE7" s="127"/>
      <c r="AF7" s="128"/>
      <c r="AG7" s="128"/>
      <c r="AH7" s="128"/>
      <c r="AI7" s="128"/>
      <c r="AJ7" s="128"/>
      <c r="AK7" s="128"/>
      <c r="AL7" s="128"/>
      <c r="AM7" s="129"/>
    </row>
    <row r="8" spans="1:39" ht="15.75" thickBot="1" x14ac:dyDescent="0.3">
      <c r="A8" s="268" t="s">
        <v>6</v>
      </c>
      <c r="B8" s="710">
        <v>0</v>
      </c>
      <c r="C8" s="135"/>
      <c r="D8" s="318" t="s">
        <v>342</v>
      </c>
      <c r="N8" s="100">
        <v>1</v>
      </c>
      <c r="O8" s="101">
        <v>121</v>
      </c>
      <c r="P8" s="102" t="s">
        <v>93</v>
      </c>
      <c r="AE8" s="130"/>
      <c r="AF8" s="131"/>
      <c r="AG8" s="131"/>
      <c r="AH8" s="131"/>
      <c r="AI8" s="131"/>
      <c r="AJ8" s="131"/>
      <c r="AK8" s="131"/>
      <c r="AL8" s="131"/>
      <c r="AM8" s="132"/>
    </row>
    <row r="9" spans="1:39" ht="15.75" thickBot="1" x14ac:dyDescent="0.3">
      <c r="A9" s="698" t="s">
        <v>7</v>
      </c>
      <c r="B9" s="699" t="s">
        <v>269</v>
      </c>
      <c r="C9" s="700">
        <f>SUM(C10:C11)</f>
        <v>0</v>
      </c>
      <c r="D9" s="318"/>
      <c r="N9" s="93">
        <v>1</v>
      </c>
      <c r="O9" s="94">
        <v>102</v>
      </c>
      <c r="P9" s="95" t="s">
        <v>94</v>
      </c>
      <c r="AE9" s="133">
        <f>AE10+AE11</f>
        <v>0</v>
      </c>
      <c r="AF9" s="133">
        <f t="shared" ref="AF9" si="1">AF10+AF11</f>
        <v>0</v>
      </c>
      <c r="AG9" s="133">
        <f t="shared" ref="AG9" si="2">AG10+AG11</f>
        <v>0</v>
      </c>
      <c r="AH9" s="133">
        <f t="shared" ref="AH9" si="3">AH10+AH11</f>
        <v>0</v>
      </c>
      <c r="AI9" s="133">
        <f t="shared" ref="AI9" si="4">AI10+AI11</f>
        <v>0</v>
      </c>
      <c r="AJ9" s="133">
        <f t="shared" ref="AJ9" si="5">AJ10+AJ11</f>
        <v>0</v>
      </c>
      <c r="AK9" s="133">
        <f t="shared" ref="AK9" si="6">AK10+AK11</f>
        <v>0</v>
      </c>
      <c r="AL9" s="133">
        <f t="shared" ref="AL9" si="7">AL10+AL11</f>
        <v>0</v>
      </c>
      <c r="AM9" s="133">
        <f t="shared" ref="AM9" si="8">AM10+AM11</f>
        <v>0</v>
      </c>
    </row>
    <row r="10" spans="1:39" ht="15.75" thickBot="1" x14ac:dyDescent="0.3">
      <c r="A10" s="257"/>
      <c r="B10" s="105"/>
      <c r="C10" s="135"/>
      <c r="D10" s="318" t="s">
        <v>409</v>
      </c>
      <c r="N10" s="93">
        <v>1</v>
      </c>
      <c r="O10" s="94">
        <v>102</v>
      </c>
      <c r="P10" s="95" t="s">
        <v>95</v>
      </c>
      <c r="AE10" s="123">
        <f>B10*C10</f>
        <v>0</v>
      </c>
      <c r="AF10" s="123">
        <f>IF($AE10*2&lt;=C10,$AE10,0)</f>
        <v>0</v>
      </c>
      <c r="AG10" s="123">
        <f>IF($AE10*3&lt;=$C10,$AE10,0)</f>
        <v>0</v>
      </c>
      <c r="AH10" s="123">
        <f>IF($AE10*4&lt;=$C10,$AE10,0)</f>
        <v>0</v>
      </c>
      <c r="AI10" s="123">
        <f>IF($AE10*5&lt;=$C10,$AE10,0)</f>
        <v>0</v>
      </c>
      <c r="AJ10" s="123">
        <f>IF($AE10*6&lt;=$C10,$AE10,0)</f>
        <v>0</v>
      </c>
      <c r="AK10" s="123">
        <f>IF($AE10*7&lt;=$C10,$AE10,0)</f>
        <v>0</v>
      </c>
      <c r="AL10" s="123">
        <f>IF($AE10*8&lt;=$C10,$AE10,0)</f>
        <v>0</v>
      </c>
      <c r="AM10" s="123">
        <f>IF($AE10*9&lt;=$C10,$AE10,0)</f>
        <v>0</v>
      </c>
    </row>
    <row r="11" spans="1:39" ht="15.75" thickBot="1" x14ac:dyDescent="0.3">
      <c r="A11" s="257"/>
      <c r="B11" s="105"/>
      <c r="C11" s="135"/>
      <c r="D11" s="318" t="s">
        <v>409</v>
      </c>
      <c r="N11" s="93">
        <v>1</v>
      </c>
      <c r="O11" s="94">
        <v>104</v>
      </c>
      <c r="P11" s="95" t="s">
        <v>96</v>
      </c>
      <c r="AE11" s="123">
        <f>B11*C11</f>
        <v>0</v>
      </c>
      <c r="AF11" s="123">
        <f>IF($AE11*2&lt;=C11,$AE11,0)</f>
        <v>0</v>
      </c>
      <c r="AG11" s="123">
        <f>IF($AE11*3&lt;=$C11,$AE11,0)</f>
        <v>0</v>
      </c>
      <c r="AH11" s="123">
        <f>IF($AE11*4&lt;=$C11,$AE11,0)</f>
        <v>0</v>
      </c>
      <c r="AI11" s="123">
        <f>IF($AE11*5&lt;=$C11,$AE11,0)</f>
        <v>0</v>
      </c>
      <c r="AJ11" s="123">
        <f>IF($AE11*6&lt;=$C11,$AE11,0)</f>
        <v>0</v>
      </c>
      <c r="AK11" s="123">
        <f>IF($AE11*7&lt;=$C11,$AE11,0)</f>
        <v>0</v>
      </c>
      <c r="AL11" s="123">
        <f>IF($AE11*8&lt;=$C11,$AE11,0)</f>
        <v>0</v>
      </c>
      <c r="AM11" s="123">
        <f>IF($AE11*9&lt;=$C11,$AE11,0)</f>
        <v>0</v>
      </c>
    </row>
    <row r="12" spans="1:39" ht="15.75" thickBot="1" x14ac:dyDescent="0.3">
      <c r="A12" s="698" t="s">
        <v>8</v>
      </c>
      <c r="B12" s="699" t="s">
        <v>269</v>
      </c>
      <c r="C12" s="700">
        <f>SUM(C13:C15)</f>
        <v>0</v>
      </c>
      <c r="D12" s="318"/>
      <c r="N12" s="93">
        <v>1</v>
      </c>
      <c r="O12" s="94">
        <v>104</v>
      </c>
      <c r="P12" s="95" t="s">
        <v>97</v>
      </c>
      <c r="AE12" s="133">
        <f>AE15+AE14+AE13</f>
        <v>0</v>
      </c>
      <c r="AF12" s="133">
        <f t="shared" ref="AF12:AM12" si="9">AF15+AF14+AF13</f>
        <v>0</v>
      </c>
      <c r="AG12" s="133">
        <f t="shared" si="9"/>
        <v>0</v>
      </c>
      <c r="AH12" s="133">
        <f t="shared" si="9"/>
        <v>0</v>
      </c>
      <c r="AI12" s="133">
        <f t="shared" si="9"/>
        <v>0</v>
      </c>
      <c r="AJ12" s="133">
        <f t="shared" si="9"/>
        <v>0</v>
      </c>
      <c r="AK12" s="133">
        <f t="shared" si="9"/>
        <v>0</v>
      </c>
      <c r="AL12" s="133">
        <f t="shared" si="9"/>
        <v>0</v>
      </c>
      <c r="AM12" s="133">
        <f t="shared" si="9"/>
        <v>0</v>
      </c>
    </row>
    <row r="13" spans="1:39" ht="15.75" thickBot="1" x14ac:dyDescent="0.3">
      <c r="A13" s="257"/>
      <c r="B13" s="105"/>
      <c r="C13" s="135"/>
      <c r="D13" s="318" t="s">
        <v>409</v>
      </c>
      <c r="N13" s="93">
        <v>1</v>
      </c>
      <c r="O13" s="94">
        <v>10</v>
      </c>
      <c r="P13" s="95" t="s">
        <v>98</v>
      </c>
      <c r="AE13" s="123">
        <f>B13*C13</f>
        <v>0</v>
      </c>
      <c r="AF13" s="123">
        <f>IF($AE13*2&lt;=C13,$AE13,0)</f>
        <v>0</v>
      </c>
      <c r="AG13" s="123">
        <f>IF($AE13*3&lt;=$C13,$AE13,0)</f>
        <v>0</v>
      </c>
      <c r="AH13" s="123">
        <f>IF($AE13*4&lt;=$C13,$AE13,0)</f>
        <v>0</v>
      </c>
      <c r="AI13" s="123">
        <f>IF($AE13*5&lt;=$C13,$AE13,0)</f>
        <v>0</v>
      </c>
      <c r="AJ13" s="123">
        <f>IF($AE13*6&lt;=$C13,$AE13,0)</f>
        <v>0</v>
      </c>
      <c r="AK13" s="123">
        <f>IF($AE13*7&lt;=$C13,$AE13,0)</f>
        <v>0</v>
      </c>
      <c r="AL13" s="123">
        <f>IF($AE13*8&lt;=$C13,$AE13,0)</f>
        <v>0</v>
      </c>
      <c r="AM13" s="123">
        <f>IF($AE13*9&lt;=$C13,$AE13,0)</f>
        <v>0</v>
      </c>
    </row>
    <row r="14" spans="1:39" ht="15.75" thickBot="1" x14ac:dyDescent="0.3">
      <c r="A14" s="257"/>
      <c r="B14" s="105"/>
      <c r="C14" s="135"/>
      <c r="D14" s="318" t="s">
        <v>409</v>
      </c>
      <c r="N14" s="93">
        <v>1</v>
      </c>
      <c r="O14" s="94">
        <v>103</v>
      </c>
      <c r="P14" s="95" t="s">
        <v>99</v>
      </c>
      <c r="AE14" s="123">
        <f>B14*C14</f>
        <v>0</v>
      </c>
      <c r="AF14" s="123">
        <f>IF($AE14*2&lt;=C14,$AE14,0)</f>
        <v>0</v>
      </c>
      <c r="AG14" s="123">
        <f>IF($AE14*3&lt;=$C14,$AE14,0)</f>
        <v>0</v>
      </c>
      <c r="AH14" s="123">
        <f>IF($AE14*4&lt;=$C14,$AE14,0)</f>
        <v>0</v>
      </c>
      <c r="AI14" s="123">
        <f>IF($AE14*5&lt;=$C14,$AE14,0)</f>
        <v>0</v>
      </c>
      <c r="AJ14" s="123">
        <f>IF($AE14*6&lt;=$C14,$AE14,0)</f>
        <v>0</v>
      </c>
      <c r="AK14" s="123">
        <f>IF($AE14*7&lt;=$C14,$AE14,0)</f>
        <v>0</v>
      </c>
      <c r="AL14" s="123">
        <f>IF($AE14*8&lt;=$C14,$AE14,0)</f>
        <v>0</v>
      </c>
      <c r="AM14" s="123">
        <f>IF($AE14*9&lt;=$C14,$AE14,0)</f>
        <v>0</v>
      </c>
    </row>
    <row r="15" spans="1:39" ht="15.75" thickBot="1" x14ac:dyDescent="0.3">
      <c r="A15" s="257"/>
      <c r="B15" s="105"/>
      <c r="C15" s="138"/>
      <c r="D15" s="318" t="s">
        <v>409</v>
      </c>
      <c r="N15" s="93">
        <v>1</v>
      </c>
      <c r="O15" s="94">
        <v>109</v>
      </c>
      <c r="P15" s="95" t="s">
        <v>100</v>
      </c>
      <c r="AE15" s="123">
        <f>B15*C15</f>
        <v>0</v>
      </c>
      <c r="AF15" s="123">
        <f>IF($AE15*2&lt;=C15,$AE15,0)</f>
        <v>0</v>
      </c>
      <c r="AG15" s="123">
        <f>IF($AE15*3&lt;=$C15,$AE15,0)</f>
        <v>0</v>
      </c>
      <c r="AH15" s="123">
        <f>IF($AE15*4&lt;=$C15,$AE15,0)</f>
        <v>0</v>
      </c>
      <c r="AI15" s="123">
        <f>IF($AE15*5&lt;=$C15,$AE15,0)</f>
        <v>0</v>
      </c>
      <c r="AJ15" s="123">
        <f>IF($AE15*6&lt;=$C15,$AE15,0)</f>
        <v>0</v>
      </c>
      <c r="AK15" s="123">
        <f>IF($AE15*7&lt;=$C15,$AE15,0)</f>
        <v>0</v>
      </c>
      <c r="AL15" s="123">
        <f>IF($AE15*8&lt;=$C15,$AE15,0)</f>
        <v>0</v>
      </c>
      <c r="AM15" s="123">
        <f>IF($AE15*9&lt;=$C15,$AE15,0)</f>
        <v>0</v>
      </c>
    </row>
    <row r="16" spans="1:39" ht="15.75" thickBot="1" x14ac:dyDescent="0.3">
      <c r="A16" s="698" t="s">
        <v>395</v>
      </c>
      <c r="B16" s="699" t="s">
        <v>269</v>
      </c>
      <c r="C16" s="700">
        <f>SUM(C17:C18)</f>
        <v>0</v>
      </c>
      <c r="D16" s="318"/>
      <c r="N16" s="100">
        <v>2</v>
      </c>
      <c r="O16" s="94">
        <v>21</v>
      </c>
      <c r="P16" s="95" t="s">
        <v>101</v>
      </c>
      <c r="AE16" s="133">
        <f>AE17+AE18</f>
        <v>0</v>
      </c>
      <c r="AF16" s="133">
        <f t="shared" ref="AF16" si="10">AF17+AF18</f>
        <v>0</v>
      </c>
      <c r="AG16" s="133">
        <f t="shared" ref="AG16" si="11">AG17+AG18</f>
        <v>0</v>
      </c>
      <c r="AH16" s="133">
        <f t="shared" ref="AH16" si="12">AH17+AH18</f>
        <v>0</v>
      </c>
      <c r="AI16" s="133">
        <f t="shared" ref="AI16" si="13">AI17+AI18</f>
        <v>0</v>
      </c>
      <c r="AJ16" s="133">
        <f t="shared" ref="AJ16" si="14">AJ17+AJ18</f>
        <v>0</v>
      </c>
      <c r="AK16" s="133">
        <f t="shared" ref="AK16" si="15">AK17+AK18</f>
        <v>0</v>
      </c>
      <c r="AL16" s="133">
        <f t="shared" ref="AL16" si="16">AL17+AL18</f>
        <v>0</v>
      </c>
      <c r="AM16" s="133">
        <f t="shared" ref="AM16" si="17">AM17+AM18</f>
        <v>0</v>
      </c>
    </row>
    <row r="17" spans="1:39" ht="15.75" thickBot="1" x14ac:dyDescent="0.3">
      <c r="A17" s="257"/>
      <c r="B17" s="106"/>
      <c r="C17" s="109"/>
      <c r="D17" s="318" t="s">
        <v>409</v>
      </c>
      <c r="N17" s="93">
        <v>2</v>
      </c>
      <c r="O17" s="94">
        <v>224</v>
      </c>
      <c r="P17" s="95" t="s">
        <v>102</v>
      </c>
      <c r="AE17" s="123">
        <f>B17*C17</f>
        <v>0</v>
      </c>
      <c r="AF17" s="123">
        <f>IF($AE17*2&lt;=C17,$AE17,0)</f>
        <v>0</v>
      </c>
      <c r="AG17" s="123">
        <f>IF($AE17*3&lt;=$C17,$AE17,0)</f>
        <v>0</v>
      </c>
      <c r="AH17" s="123">
        <f>IF($AE17*4&lt;=$C17,$AE17,0)</f>
        <v>0</v>
      </c>
      <c r="AI17" s="123">
        <f>IF($AE17*5&lt;=$C17,$AE17,0)</f>
        <v>0</v>
      </c>
      <c r="AJ17" s="123">
        <f>IF($AE17*6&lt;=$C17,$AE17,0)</f>
        <v>0</v>
      </c>
      <c r="AK17" s="123">
        <f>IF($AE17*7&lt;=$C17,$AE17,0)</f>
        <v>0</v>
      </c>
      <c r="AL17" s="123">
        <f>IF($AE17*8&lt;=$C17,$AE17,0)</f>
        <v>0</v>
      </c>
      <c r="AM17" s="123">
        <f>IF($AE17*9&lt;=$C17,$AE17,0)</f>
        <v>0</v>
      </c>
    </row>
    <row r="18" spans="1:39" ht="15.75" thickBot="1" x14ac:dyDescent="0.3">
      <c r="A18" s="257"/>
      <c r="B18" s="105"/>
      <c r="C18" s="135"/>
      <c r="D18" s="318" t="s">
        <v>409</v>
      </c>
      <c r="N18" s="93">
        <v>2</v>
      </c>
      <c r="O18" s="94">
        <v>225</v>
      </c>
      <c r="P18" s="95" t="s">
        <v>103</v>
      </c>
      <c r="AE18" s="123">
        <f>B18*C18</f>
        <v>0</v>
      </c>
      <c r="AF18" s="123">
        <f>IF($AE18*2&lt;=C18,$AE18,0)</f>
        <v>0</v>
      </c>
      <c r="AG18" s="123">
        <f>IF($AE18*3&lt;=$C18,$AE18,0)</f>
        <v>0</v>
      </c>
      <c r="AH18" s="123">
        <f>IF($AE18*4&lt;=$C18,$AE18,0)</f>
        <v>0</v>
      </c>
      <c r="AI18" s="123">
        <f>IF($AE18*5&lt;=$C18,$AE18,0)</f>
        <v>0</v>
      </c>
      <c r="AJ18" s="123">
        <f>IF($AE18*6&lt;=$C18,$AE18,0)</f>
        <v>0</v>
      </c>
      <c r="AK18" s="123">
        <f>IF($AE18*7&lt;=$C18,$AE18,0)</f>
        <v>0</v>
      </c>
      <c r="AL18" s="123">
        <f>IF($AE18*8&lt;=$C18,$AE18,0)</f>
        <v>0</v>
      </c>
      <c r="AM18" s="123">
        <f>IF($AE18*9&lt;=$C18,$AE18,0)</f>
        <v>0</v>
      </c>
    </row>
    <row r="19" spans="1:39" ht="15.75" thickBot="1" x14ac:dyDescent="0.3">
      <c r="A19" s="698" t="s">
        <v>396</v>
      </c>
      <c r="B19" s="699" t="s">
        <v>269</v>
      </c>
      <c r="C19" s="700">
        <f>SUM(C20:C20)</f>
        <v>0</v>
      </c>
      <c r="D19" s="318"/>
      <c r="N19" s="93">
        <v>2</v>
      </c>
      <c r="O19" s="94">
        <v>226</v>
      </c>
      <c r="P19" s="95" t="s">
        <v>104</v>
      </c>
      <c r="AE19" s="133">
        <f>AE20</f>
        <v>0</v>
      </c>
      <c r="AF19" s="133">
        <f t="shared" ref="AF19:AM19" si="18">AF20</f>
        <v>0</v>
      </c>
      <c r="AG19" s="133">
        <f t="shared" si="18"/>
        <v>0</v>
      </c>
      <c r="AH19" s="133">
        <f t="shared" si="18"/>
        <v>0</v>
      </c>
      <c r="AI19" s="133">
        <f t="shared" si="18"/>
        <v>0</v>
      </c>
      <c r="AJ19" s="133">
        <f t="shared" si="18"/>
        <v>0</v>
      </c>
      <c r="AK19" s="133">
        <f t="shared" si="18"/>
        <v>0</v>
      </c>
      <c r="AL19" s="133">
        <f t="shared" si="18"/>
        <v>0</v>
      </c>
      <c r="AM19" s="133">
        <f t="shared" si="18"/>
        <v>0</v>
      </c>
    </row>
    <row r="20" spans="1:39" ht="15.75" thickBot="1" x14ac:dyDescent="0.3">
      <c r="A20" s="257"/>
      <c r="B20" s="711">
        <v>1</v>
      </c>
      <c r="C20" s="135"/>
      <c r="D20" s="318" t="s">
        <v>410</v>
      </c>
      <c r="N20" s="93"/>
      <c r="O20" s="94"/>
      <c r="P20" s="95"/>
      <c r="AE20" s="123">
        <f>B20*C20</f>
        <v>0</v>
      </c>
      <c r="AF20" s="123">
        <f>IF($AE20*2&lt;=C20,$AE20,0)</f>
        <v>0</v>
      </c>
      <c r="AG20" s="123">
        <f>IF($AE20*3&lt;=$C20,$AE20,0)</f>
        <v>0</v>
      </c>
      <c r="AH20" s="123">
        <f>IF($AE20*4&lt;=$C20,$AE20,0)</f>
        <v>0</v>
      </c>
      <c r="AI20" s="123">
        <f>IF($AE20*5&lt;=$C20,$AE20,0)</f>
        <v>0</v>
      </c>
      <c r="AJ20" s="123">
        <f>IF($AE20*6&lt;=$C20,$AE20,0)</f>
        <v>0</v>
      </c>
      <c r="AK20" s="123">
        <f>IF($AE20*7&lt;=$C20,$AE20,0)</f>
        <v>0</v>
      </c>
      <c r="AL20" s="123">
        <f>IF($AE20*8&lt;=$C20,$AE20,0)</f>
        <v>0</v>
      </c>
      <c r="AM20" s="123">
        <f>IF($AE20*9&lt;=$C20,$AE20,0)</f>
        <v>0</v>
      </c>
    </row>
    <row r="21" spans="1:39" ht="15.75" thickBot="1" x14ac:dyDescent="0.3">
      <c r="A21" s="269" t="s">
        <v>274</v>
      </c>
      <c r="B21" s="269"/>
      <c r="C21" s="270"/>
      <c r="N21" s="93">
        <v>2</v>
      </c>
      <c r="O21" s="94">
        <v>290</v>
      </c>
      <c r="P21" s="95" t="s">
        <v>105</v>
      </c>
      <c r="AE21" s="271">
        <f>AE3+AE6+AE9+AE12+AE16+AE19</f>
        <v>0</v>
      </c>
      <c r="AF21" s="271">
        <f t="shared" ref="AF21:AM21" si="19">AF3+AF6+AF9+AF12+AF16+AF19</f>
        <v>0</v>
      </c>
      <c r="AG21" s="271">
        <f t="shared" si="19"/>
        <v>0</v>
      </c>
      <c r="AH21" s="271">
        <f t="shared" si="19"/>
        <v>0</v>
      </c>
      <c r="AI21" s="271">
        <f t="shared" si="19"/>
        <v>0</v>
      </c>
      <c r="AJ21" s="271">
        <f t="shared" si="19"/>
        <v>0</v>
      </c>
      <c r="AK21" s="271">
        <f t="shared" si="19"/>
        <v>0</v>
      </c>
      <c r="AL21" s="271">
        <f t="shared" si="19"/>
        <v>0</v>
      </c>
      <c r="AM21" s="271">
        <f t="shared" si="19"/>
        <v>0</v>
      </c>
    </row>
    <row r="22" spans="1:39" ht="19.5" thickBot="1" x14ac:dyDescent="0.35">
      <c r="A22" s="272" t="s">
        <v>307</v>
      </c>
      <c r="B22" s="273"/>
      <c r="C22" s="274">
        <f>C3+C6+C9+C12+C16+C19</f>
        <v>0</v>
      </c>
      <c r="N22" s="93">
        <v>2</v>
      </c>
      <c r="O22" s="94">
        <v>291</v>
      </c>
      <c r="P22" s="95" t="s">
        <v>106</v>
      </c>
    </row>
    <row r="23" spans="1:39" s="79" customFormat="1" ht="19.5" thickBot="1" x14ac:dyDescent="0.35">
      <c r="A23" s="272" t="s">
        <v>308</v>
      </c>
      <c r="B23" s="275">
        <v>0.23</v>
      </c>
      <c r="C23" s="274">
        <f>B23*C22</f>
        <v>0</v>
      </c>
      <c r="N23" s="93">
        <v>2</v>
      </c>
      <c r="O23" s="94">
        <v>2</v>
      </c>
      <c r="P23" s="95" t="s">
        <v>107</v>
      </c>
    </row>
    <row r="24" spans="1:39" s="79" customFormat="1" ht="19.5" thickBot="1" x14ac:dyDescent="0.35">
      <c r="A24" s="342" t="s">
        <v>343</v>
      </c>
      <c r="B24" s="343"/>
      <c r="C24" s="274">
        <f>C22+C23</f>
        <v>0</v>
      </c>
      <c r="N24" s="93"/>
      <c r="O24" s="94"/>
      <c r="P24" s="95"/>
    </row>
    <row r="25" spans="1:39" s="79" customFormat="1" ht="19.5" thickBot="1" x14ac:dyDescent="0.35">
      <c r="A25" s="276"/>
      <c r="B25" s="277"/>
      <c r="C25" s="278"/>
      <c r="N25" s="93"/>
      <c r="O25" s="94"/>
      <c r="P25" s="95"/>
    </row>
    <row r="26" spans="1:39" ht="19.5" thickBot="1" x14ac:dyDescent="0.35">
      <c r="A26" s="761" t="s">
        <v>81</v>
      </c>
      <c r="B26" s="762" t="s">
        <v>513</v>
      </c>
      <c r="C26" s="762" t="s">
        <v>514</v>
      </c>
      <c r="G26" s="79"/>
      <c r="H26" s="79"/>
      <c r="I26" s="79"/>
      <c r="J26" s="79"/>
      <c r="K26" s="79"/>
      <c r="N26" s="93">
        <v>2</v>
      </c>
      <c r="O26" s="94">
        <v>211</v>
      </c>
      <c r="P26" s="95" t="s">
        <v>108</v>
      </c>
    </row>
    <row r="27" spans="1:39" ht="16.5" thickBot="1" x14ac:dyDescent="0.3">
      <c r="A27" s="708" t="s">
        <v>305</v>
      </c>
      <c r="B27" s="165"/>
      <c r="C27" s="165"/>
      <c r="D27" s="341" t="s">
        <v>344</v>
      </c>
      <c r="G27" s="79"/>
      <c r="H27" s="79"/>
      <c r="I27" s="79"/>
      <c r="J27" s="79"/>
      <c r="K27" s="79"/>
      <c r="N27" s="93">
        <v>2</v>
      </c>
      <c r="O27" s="94">
        <v>221</v>
      </c>
      <c r="P27" s="95" t="s">
        <v>109</v>
      </c>
    </row>
    <row r="28" spans="1:39" ht="16.5" thickBot="1" x14ac:dyDescent="0.3">
      <c r="A28" s="709" t="s">
        <v>286</v>
      </c>
      <c r="B28" s="766"/>
      <c r="C28" s="766"/>
      <c r="D28" s="341" t="s">
        <v>344</v>
      </c>
      <c r="G28" s="79"/>
      <c r="H28" s="79"/>
      <c r="I28" s="397"/>
      <c r="J28" s="79"/>
      <c r="K28" s="398"/>
      <c r="N28" s="93">
        <v>2</v>
      </c>
      <c r="O28" s="94">
        <v>202</v>
      </c>
      <c r="P28" s="95" t="s">
        <v>110</v>
      </c>
    </row>
    <row r="29" spans="1:39" ht="16.5" thickBot="1" x14ac:dyDescent="0.3">
      <c r="A29" s="709" t="s">
        <v>306</v>
      </c>
      <c r="B29" s="345"/>
      <c r="C29" s="345"/>
      <c r="D29" s="341" t="s">
        <v>344</v>
      </c>
      <c r="N29" s="93">
        <v>2</v>
      </c>
      <c r="O29" s="94">
        <v>200</v>
      </c>
      <c r="P29" s="95" t="s">
        <v>111</v>
      </c>
    </row>
    <row r="30" spans="1:39" ht="16.5" thickBot="1" x14ac:dyDescent="0.3">
      <c r="D30" s="805" t="s">
        <v>310</v>
      </c>
      <c r="E30" s="805"/>
      <c r="F30" s="805"/>
      <c r="G30" s="805"/>
      <c r="H30" s="805"/>
      <c r="I30" s="805"/>
      <c r="J30" s="805"/>
      <c r="K30" s="805"/>
      <c r="L30" s="805"/>
      <c r="N30" s="93">
        <v>3</v>
      </c>
      <c r="O30" s="94">
        <v>3</v>
      </c>
      <c r="P30" s="95" t="s">
        <v>112</v>
      </c>
    </row>
    <row r="31" spans="1:39" ht="62.25" thickBot="1" x14ac:dyDescent="0.4">
      <c r="A31" s="806" t="s">
        <v>272</v>
      </c>
      <c r="B31" s="807"/>
      <c r="C31" s="266" t="s">
        <v>400</v>
      </c>
      <c r="D31" s="279">
        <f>KPIR!F6</f>
        <v>2025</v>
      </c>
      <c r="E31" s="279">
        <f>KPIR!G6</f>
        <v>2026</v>
      </c>
      <c r="F31" s="279">
        <f>KPIR!H6</f>
        <v>2027</v>
      </c>
      <c r="G31" s="279" t="s">
        <v>14</v>
      </c>
      <c r="H31" s="279" t="s">
        <v>15</v>
      </c>
      <c r="I31" s="279" t="s">
        <v>82</v>
      </c>
      <c r="J31" s="279" t="s">
        <v>83</v>
      </c>
      <c r="K31" s="279" t="s">
        <v>84</v>
      </c>
      <c r="L31" s="279" t="s">
        <v>85</v>
      </c>
      <c r="N31" s="93">
        <v>3</v>
      </c>
      <c r="O31" s="94">
        <v>323</v>
      </c>
      <c r="P31" s="95" t="s">
        <v>113</v>
      </c>
    </row>
    <row r="32" spans="1:39" ht="15.75" thickBot="1" x14ac:dyDescent="0.3">
      <c r="A32" s="703" t="s">
        <v>282</v>
      </c>
      <c r="B32" s="704"/>
      <c r="C32" s="136">
        <f>'załącznik nr 1 dla KPiR'!B71</f>
        <v>0</v>
      </c>
      <c r="D32" s="136"/>
      <c r="E32" s="136"/>
      <c r="F32" s="136"/>
      <c r="G32" s="134"/>
      <c r="H32" s="134"/>
      <c r="I32" s="134"/>
      <c r="J32" s="134"/>
      <c r="K32" s="134"/>
      <c r="L32" s="134"/>
      <c r="M32" s="340" t="s">
        <v>345</v>
      </c>
      <c r="N32" s="93">
        <v>3</v>
      </c>
      <c r="O32" s="94">
        <v>324</v>
      </c>
      <c r="P32" s="95" t="s">
        <v>114</v>
      </c>
    </row>
    <row r="33" spans="1:16" ht="15.75" thickBot="1" x14ac:dyDescent="0.3">
      <c r="A33" s="703" t="s">
        <v>4</v>
      </c>
      <c r="B33" s="704"/>
      <c r="C33" s="109">
        <f>'załącznik nr 1 dla KPiR'!B72</f>
        <v>0</v>
      </c>
      <c r="D33" s="707"/>
      <c r="E33" s="707"/>
      <c r="F33" s="707"/>
      <c r="G33" s="707"/>
      <c r="H33" s="707"/>
      <c r="I33" s="707"/>
      <c r="J33" s="707"/>
      <c r="K33" s="707"/>
      <c r="L33" s="707"/>
      <c r="M33" s="340" t="s">
        <v>345</v>
      </c>
      <c r="N33" s="93">
        <v>3</v>
      </c>
      <c r="O33" s="94">
        <v>325</v>
      </c>
      <c r="P33" s="95" t="s">
        <v>115</v>
      </c>
    </row>
    <row r="34" spans="1:16" ht="15.75" thickBot="1" x14ac:dyDescent="0.3">
      <c r="A34" s="703" t="s">
        <v>7</v>
      </c>
      <c r="B34" s="704"/>
      <c r="C34" s="306">
        <f>'załącznik nr 1 dla KPiR'!B73</f>
        <v>0</v>
      </c>
      <c r="D34" s="306"/>
      <c r="E34" s="306"/>
      <c r="F34" s="306"/>
      <c r="G34" s="134"/>
      <c r="H34" s="134"/>
      <c r="I34" s="134"/>
      <c r="J34" s="134"/>
      <c r="K34" s="134"/>
      <c r="L34" s="134"/>
      <c r="M34" s="340" t="s">
        <v>345</v>
      </c>
      <c r="N34" s="93">
        <v>3</v>
      </c>
      <c r="O34" s="94">
        <v>326</v>
      </c>
      <c r="P34" s="95" t="s">
        <v>116</v>
      </c>
    </row>
    <row r="35" spans="1:16" ht="15.75" thickBot="1" x14ac:dyDescent="0.3">
      <c r="A35" s="703" t="s">
        <v>8</v>
      </c>
      <c r="B35" s="704"/>
      <c r="C35" s="109">
        <f>'załącznik nr 1 dla KPiR'!B74</f>
        <v>0</v>
      </c>
      <c r="D35" s="109"/>
      <c r="E35" s="109"/>
      <c r="F35" s="109"/>
      <c r="G35" s="134"/>
      <c r="H35" s="134"/>
      <c r="I35" s="134"/>
      <c r="J35" s="134"/>
      <c r="K35" s="134"/>
      <c r="L35" s="134"/>
      <c r="M35" s="340" t="s">
        <v>345</v>
      </c>
      <c r="N35" s="93">
        <v>3</v>
      </c>
      <c r="O35" s="94">
        <v>343</v>
      </c>
      <c r="P35" s="95" t="s">
        <v>117</v>
      </c>
    </row>
    <row r="36" spans="1:16" ht="15.75" thickBot="1" x14ac:dyDescent="0.3">
      <c r="A36" s="703" t="s">
        <v>9</v>
      </c>
      <c r="B36" s="704"/>
      <c r="C36" s="109">
        <f>'załącznik nr 1 dla KPiR'!B75</f>
        <v>0</v>
      </c>
      <c r="D36" s="134"/>
      <c r="E36" s="134"/>
      <c r="F36" s="134"/>
      <c r="G36" s="134"/>
      <c r="H36" s="134"/>
      <c r="I36" s="134"/>
      <c r="J36" s="134"/>
      <c r="K36" s="134"/>
      <c r="L36" s="134"/>
      <c r="M36" s="340" t="s">
        <v>345</v>
      </c>
      <c r="N36" s="96">
        <v>3</v>
      </c>
      <c r="O36" s="97">
        <v>344</v>
      </c>
      <c r="P36" s="98" t="s">
        <v>118</v>
      </c>
    </row>
    <row r="37" spans="1:16" ht="15.75" thickBot="1" x14ac:dyDescent="0.3">
      <c r="A37" s="705" t="s">
        <v>10</v>
      </c>
      <c r="B37" s="706"/>
      <c r="C37" s="137">
        <f>'załącznik nr 1 dla KPiR'!B76</f>
        <v>0</v>
      </c>
      <c r="D37" s="134"/>
      <c r="E37" s="134"/>
      <c r="F37" s="134"/>
      <c r="G37" s="134"/>
      <c r="H37" s="134"/>
      <c r="I37" s="134"/>
      <c r="J37" s="134"/>
      <c r="K37" s="134"/>
      <c r="L37" s="134"/>
      <c r="M37" s="340" t="s">
        <v>345</v>
      </c>
      <c r="N37" s="99">
        <v>3</v>
      </c>
      <c r="O37" s="91">
        <v>349</v>
      </c>
      <c r="P37" s="92" t="s">
        <v>119</v>
      </c>
    </row>
    <row r="38" spans="1:16" ht="15.75" thickBot="1" x14ac:dyDescent="0.3">
      <c r="A38" s="280"/>
      <c r="B38" s="281"/>
      <c r="C38" s="282"/>
      <c r="D38" s="282">
        <f t="shared" ref="D38:L38" si="20">SUM(D32:D37)</f>
        <v>0</v>
      </c>
      <c r="E38" s="271">
        <f t="shared" si="20"/>
        <v>0</v>
      </c>
      <c r="F38" s="271">
        <f t="shared" si="20"/>
        <v>0</v>
      </c>
      <c r="G38" s="271">
        <f t="shared" si="20"/>
        <v>0</v>
      </c>
      <c r="H38" s="271">
        <f t="shared" si="20"/>
        <v>0</v>
      </c>
      <c r="I38" s="271">
        <f t="shared" si="20"/>
        <v>0</v>
      </c>
      <c r="J38" s="271">
        <f t="shared" si="20"/>
        <v>0</v>
      </c>
      <c r="K38" s="271">
        <f t="shared" si="20"/>
        <v>0</v>
      </c>
      <c r="L38" s="271">
        <f t="shared" si="20"/>
        <v>0</v>
      </c>
      <c r="M38" s="322"/>
      <c r="N38" s="93">
        <v>4</v>
      </c>
      <c r="O38" s="94">
        <v>431</v>
      </c>
      <c r="P38" s="95" t="s">
        <v>120</v>
      </c>
    </row>
    <row r="39" spans="1:16" ht="19.5" thickBot="1" x14ac:dyDescent="0.35">
      <c r="A39" s="571" t="s">
        <v>273</v>
      </c>
      <c r="B39" s="572"/>
      <c r="C39" s="283">
        <f>C32+C33+C34+C35+C36+C37</f>
        <v>0</v>
      </c>
      <c r="D39" s="58"/>
      <c r="E39" s="58"/>
      <c r="F39" s="58"/>
      <c r="G39" s="58"/>
      <c r="H39" s="58"/>
      <c r="I39" s="58"/>
      <c r="J39" s="58"/>
      <c r="K39" s="58"/>
      <c r="L39" s="58"/>
      <c r="N39" s="93">
        <v>4</v>
      </c>
      <c r="O39" s="94">
        <v>431</v>
      </c>
      <c r="P39" s="95" t="s">
        <v>121</v>
      </c>
    </row>
    <row r="40" spans="1:16" ht="19.5" thickBot="1" x14ac:dyDescent="0.35">
      <c r="A40" s="575" t="s">
        <v>437</v>
      </c>
      <c r="B40" s="576"/>
      <c r="C40" s="577">
        <f>'załącznik nr 1 dla KPiR'!B42</f>
        <v>0</v>
      </c>
      <c r="N40" s="93">
        <v>4</v>
      </c>
      <c r="O40" s="94">
        <v>450</v>
      </c>
      <c r="P40" s="95" t="s">
        <v>122</v>
      </c>
    </row>
    <row r="41" spans="1:16" ht="18.75" hidden="1" x14ac:dyDescent="0.3">
      <c r="A41" s="573" t="s">
        <v>275</v>
      </c>
      <c r="B41" s="574"/>
      <c r="C41" s="284"/>
      <c r="D41" s="285">
        <f t="shared" ref="D41:L41" si="21">SUM(D42:D47)</f>
        <v>0</v>
      </c>
      <c r="E41" s="285">
        <f t="shared" si="21"/>
        <v>0</v>
      </c>
      <c r="F41" s="285">
        <f t="shared" si="21"/>
        <v>0</v>
      </c>
      <c r="G41" s="285">
        <f t="shared" si="21"/>
        <v>0</v>
      </c>
      <c r="H41" s="285">
        <f t="shared" si="21"/>
        <v>0</v>
      </c>
      <c r="I41" s="285">
        <f t="shared" si="21"/>
        <v>0</v>
      </c>
      <c r="J41" s="285">
        <f t="shared" si="21"/>
        <v>0</v>
      </c>
      <c r="K41" s="285">
        <f t="shared" si="21"/>
        <v>0</v>
      </c>
      <c r="L41" s="285">
        <f t="shared" si="21"/>
        <v>0</v>
      </c>
    </row>
    <row r="42" spans="1:16" hidden="1" x14ac:dyDescent="0.25">
      <c r="A42" s="286" t="s">
        <v>11</v>
      </c>
      <c r="B42" s="287"/>
      <c r="C42" s="288"/>
      <c r="D42" s="289">
        <f t="shared" ref="D42:L42" si="22">AE3+D32</f>
        <v>0</v>
      </c>
      <c r="E42" s="289">
        <f t="shared" si="22"/>
        <v>0</v>
      </c>
      <c r="F42" s="289">
        <f t="shared" si="22"/>
        <v>0</v>
      </c>
      <c r="G42" s="289">
        <f t="shared" si="22"/>
        <v>0</v>
      </c>
      <c r="H42" s="289">
        <f t="shared" si="22"/>
        <v>0</v>
      </c>
      <c r="I42" s="289">
        <f t="shared" si="22"/>
        <v>0</v>
      </c>
      <c r="J42" s="289">
        <f t="shared" si="22"/>
        <v>0</v>
      </c>
      <c r="K42" s="289">
        <f t="shared" si="22"/>
        <v>0</v>
      </c>
      <c r="L42" s="289">
        <f t="shared" si="22"/>
        <v>0</v>
      </c>
    </row>
    <row r="43" spans="1:16" hidden="1" x14ac:dyDescent="0.25">
      <c r="A43" s="290" t="s">
        <v>4</v>
      </c>
      <c r="B43" s="290"/>
      <c r="C43" s="122"/>
      <c r="D43" s="289"/>
      <c r="E43" s="289"/>
      <c r="F43" s="289"/>
      <c r="G43" s="289"/>
      <c r="H43" s="289"/>
      <c r="I43" s="289"/>
      <c r="J43" s="289"/>
      <c r="K43" s="289"/>
      <c r="L43" s="289"/>
    </row>
    <row r="44" spans="1:16" hidden="1" x14ac:dyDescent="0.25">
      <c r="A44" s="286" t="s">
        <v>7</v>
      </c>
      <c r="B44" s="287"/>
      <c r="C44" s="288"/>
      <c r="D44" s="289">
        <f t="shared" ref="D44:L44" si="23">AE9+D34</f>
        <v>0</v>
      </c>
      <c r="E44" s="289">
        <f t="shared" si="23"/>
        <v>0</v>
      </c>
      <c r="F44" s="289">
        <f t="shared" si="23"/>
        <v>0</v>
      </c>
      <c r="G44" s="289">
        <f t="shared" si="23"/>
        <v>0</v>
      </c>
      <c r="H44" s="289">
        <f t="shared" si="23"/>
        <v>0</v>
      </c>
      <c r="I44" s="289">
        <f t="shared" si="23"/>
        <v>0</v>
      </c>
      <c r="J44" s="289">
        <f t="shared" si="23"/>
        <v>0</v>
      </c>
      <c r="K44" s="289">
        <f t="shared" si="23"/>
        <v>0</v>
      </c>
      <c r="L44" s="289">
        <f t="shared" si="23"/>
        <v>0</v>
      </c>
    </row>
    <row r="45" spans="1:16" hidden="1" x14ac:dyDescent="0.25">
      <c r="A45" s="286" t="s">
        <v>8</v>
      </c>
      <c r="B45" s="287"/>
      <c r="C45" s="288"/>
      <c r="D45" s="289">
        <f t="shared" ref="D45:L45" si="24">AE12+D35</f>
        <v>0</v>
      </c>
      <c r="E45" s="289">
        <f t="shared" si="24"/>
        <v>0</v>
      </c>
      <c r="F45" s="289">
        <f t="shared" si="24"/>
        <v>0</v>
      </c>
      <c r="G45" s="289">
        <f t="shared" si="24"/>
        <v>0</v>
      </c>
      <c r="H45" s="289">
        <f t="shared" si="24"/>
        <v>0</v>
      </c>
      <c r="I45" s="289">
        <f t="shared" si="24"/>
        <v>0</v>
      </c>
      <c r="J45" s="289">
        <f t="shared" si="24"/>
        <v>0</v>
      </c>
      <c r="K45" s="289">
        <f t="shared" si="24"/>
        <v>0</v>
      </c>
      <c r="L45" s="289">
        <f t="shared" si="24"/>
        <v>0</v>
      </c>
    </row>
    <row r="46" spans="1:16" hidden="1" x14ac:dyDescent="0.25">
      <c r="A46" s="286" t="s">
        <v>9</v>
      </c>
      <c r="B46" s="287"/>
      <c r="C46" s="288"/>
      <c r="D46" s="289">
        <f t="shared" ref="D46:L46" si="25">AE16+D36</f>
        <v>0</v>
      </c>
      <c r="E46" s="289">
        <f t="shared" si="25"/>
        <v>0</v>
      </c>
      <c r="F46" s="289">
        <f t="shared" si="25"/>
        <v>0</v>
      </c>
      <c r="G46" s="289">
        <f t="shared" si="25"/>
        <v>0</v>
      </c>
      <c r="H46" s="289">
        <f t="shared" si="25"/>
        <v>0</v>
      </c>
      <c r="I46" s="289">
        <f t="shared" si="25"/>
        <v>0</v>
      </c>
      <c r="J46" s="289">
        <f t="shared" si="25"/>
        <v>0</v>
      </c>
      <c r="K46" s="289">
        <f t="shared" si="25"/>
        <v>0</v>
      </c>
      <c r="L46" s="289">
        <f t="shared" si="25"/>
        <v>0</v>
      </c>
    </row>
    <row r="47" spans="1:16" hidden="1" x14ac:dyDescent="0.25">
      <c r="A47" s="286" t="s">
        <v>10</v>
      </c>
      <c r="B47" s="287"/>
      <c r="C47" s="288"/>
      <c r="D47" s="289">
        <f t="shared" ref="D47:L47" si="26">AE19+D37</f>
        <v>0</v>
      </c>
      <c r="E47" s="289">
        <f t="shared" si="26"/>
        <v>0</v>
      </c>
      <c r="F47" s="289">
        <f t="shared" si="26"/>
        <v>0</v>
      </c>
      <c r="G47" s="289">
        <f t="shared" si="26"/>
        <v>0</v>
      </c>
      <c r="H47" s="289">
        <f t="shared" si="26"/>
        <v>0</v>
      </c>
      <c r="I47" s="289">
        <f t="shared" si="26"/>
        <v>0</v>
      </c>
      <c r="J47" s="289">
        <f t="shared" si="26"/>
        <v>0</v>
      </c>
      <c r="K47" s="289">
        <f t="shared" si="26"/>
        <v>0</v>
      </c>
      <c r="L47" s="289">
        <f t="shared" si="26"/>
        <v>0</v>
      </c>
    </row>
    <row r="48" spans="1:16" ht="19.5" thickBot="1" x14ac:dyDescent="0.35">
      <c r="A48" s="276"/>
      <c r="B48" s="277"/>
      <c r="C48" s="278"/>
      <c r="N48" s="94">
        <v>4</v>
      </c>
      <c r="O48" s="94">
        <v>451</v>
      </c>
      <c r="P48" s="95" t="s">
        <v>123</v>
      </c>
    </row>
    <row r="49" spans="1:16" ht="15.75" thickBot="1" x14ac:dyDescent="0.3">
      <c r="A49" s="558"/>
      <c r="C49" s="536"/>
      <c r="D49" s="18"/>
      <c r="E49" s="18"/>
      <c r="F49" s="18"/>
      <c r="G49" s="18"/>
      <c r="H49" s="536"/>
      <c r="N49" s="94">
        <v>4</v>
      </c>
      <c r="O49" s="94">
        <v>454</v>
      </c>
      <c r="P49" s="95" t="s">
        <v>124</v>
      </c>
    </row>
    <row r="50" spans="1:16" ht="15.75" thickBot="1" x14ac:dyDescent="0.3">
      <c r="A50" s="559"/>
      <c r="C50" s="537"/>
      <c r="D50" s="16"/>
      <c r="E50" s="16"/>
      <c r="F50" s="16"/>
      <c r="G50" s="16"/>
      <c r="H50" s="537"/>
      <c r="I50" s="79"/>
      <c r="J50" s="79"/>
      <c r="K50" s="79"/>
      <c r="L50" s="79"/>
      <c r="N50" s="94">
        <v>4</v>
      </c>
      <c r="O50" s="94">
        <v>475</v>
      </c>
      <c r="P50" s="95" t="s">
        <v>125</v>
      </c>
    </row>
    <row r="51" spans="1:16" ht="15.75" thickBot="1" x14ac:dyDescent="0.3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N51" s="94">
        <v>4</v>
      </c>
      <c r="O51" s="94">
        <v>477</v>
      </c>
      <c r="P51" s="95" t="s">
        <v>126</v>
      </c>
    </row>
    <row r="52" spans="1:16" ht="15.75" thickBot="1" x14ac:dyDescent="0.3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N52" s="101">
        <v>4</v>
      </c>
      <c r="O52" s="101">
        <v>4</v>
      </c>
      <c r="P52" s="102" t="s">
        <v>127</v>
      </c>
    </row>
    <row r="53" spans="1:16" ht="15.75" thickBot="1" x14ac:dyDescent="0.3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N53" s="94">
        <v>4</v>
      </c>
      <c r="O53" s="94">
        <v>41</v>
      </c>
      <c r="P53" s="95" t="s">
        <v>128</v>
      </c>
    </row>
    <row r="54" spans="1:16" ht="15.75" thickBot="1" x14ac:dyDescent="0.3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N54" s="94">
        <v>4</v>
      </c>
      <c r="O54" s="94">
        <v>44</v>
      </c>
      <c r="P54" s="95" t="s">
        <v>129</v>
      </c>
    </row>
    <row r="55" spans="1:16" ht="15.75" thickBot="1" x14ac:dyDescent="0.3">
      <c r="A55" s="291"/>
      <c r="B55" s="291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N55" s="94">
        <v>4</v>
      </c>
      <c r="O55" s="94">
        <v>46</v>
      </c>
      <c r="P55" s="95" t="s">
        <v>130</v>
      </c>
    </row>
    <row r="56" spans="1:16" ht="15.75" thickBot="1" x14ac:dyDescent="0.3">
      <c r="A56" s="38"/>
      <c r="B56" s="38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N56" s="94">
        <v>4</v>
      </c>
      <c r="O56" s="94">
        <v>47</v>
      </c>
      <c r="P56" s="95" t="s">
        <v>131</v>
      </c>
    </row>
    <row r="57" spans="1:16" ht="15.75" thickBot="1" x14ac:dyDescent="0.3">
      <c r="A57" s="291"/>
      <c r="B57" s="291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N57" s="94">
        <v>4</v>
      </c>
      <c r="O57" s="94">
        <v>449</v>
      </c>
      <c r="P57" s="95" t="s">
        <v>132</v>
      </c>
    </row>
    <row r="58" spans="1:16" ht="15.75" thickBot="1" x14ac:dyDescent="0.3">
      <c r="A58" s="291"/>
      <c r="B58" s="291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N58" s="94">
        <v>4</v>
      </c>
      <c r="O58" s="94">
        <v>465</v>
      </c>
      <c r="P58" s="95" t="s">
        <v>133</v>
      </c>
    </row>
    <row r="59" spans="1:16" ht="15.75" thickBot="1" x14ac:dyDescent="0.3">
      <c r="A59" s="291"/>
      <c r="B59" s="291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N59" s="94">
        <v>4</v>
      </c>
      <c r="O59" s="94">
        <v>469</v>
      </c>
      <c r="P59" s="95" t="s">
        <v>134</v>
      </c>
    </row>
    <row r="60" spans="1:16" ht="15.75" thickBot="1" x14ac:dyDescent="0.3">
      <c r="A60" s="291"/>
      <c r="B60" s="291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N60" s="94">
        <v>4</v>
      </c>
      <c r="O60" s="94">
        <v>474</v>
      </c>
      <c r="P60" s="95" t="s">
        <v>135</v>
      </c>
    </row>
    <row r="61" spans="1:16" ht="15.75" thickBot="1" x14ac:dyDescent="0.3">
      <c r="A61" s="293"/>
      <c r="B61" s="293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N61" s="94">
        <v>4</v>
      </c>
      <c r="O61" s="94">
        <v>479</v>
      </c>
      <c r="P61" s="95" t="s">
        <v>136</v>
      </c>
    </row>
    <row r="62" spans="1:16" ht="15.75" thickBot="1" x14ac:dyDescent="0.3">
      <c r="A62" s="79"/>
      <c r="B62" s="79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N62" s="94">
        <v>4</v>
      </c>
      <c r="O62" s="94">
        <v>481</v>
      </c>
      <c r="P62" s="95" t="s">
        <v>137</v>
      </c>
    </row>
    <row r="63" spans="1:16" ht="18.75" customHeight="1" thickBot="1" x14ac:dyDescent="0.3">
      <c r="A63" s="291"/>
      <c r="B63" s="291"/>
      <c r="C63" s="295"/>
      <c r="D63" s="295"/>
      <c r="E63" s="295"/>
      <c r="F63" s="295"/>
      <c r="G63" s="295"/>
      <c r="H63" s="295"/>
      <c r="I63" s="295"/>
      <c r="J63" s="295"/>
      <c r="K63" s="295"/>
      <c r="L63" s="295"/>
      <c r="N63" s="94">
        <v>4</v>
      </c>
      <c r="O63" s="94">
        <v>482</v>
      </c>
      <c r="P63" s="95" t="s">
        <v>138</v>
      </c>
    </row>
    <row r="64" spans="1:16" ht="18.75" customHeight="1" thickBot="1" x14ac:dyDescent="0.3">
      <c r="A64" s="296"/>
      <c r="B64" s="296"/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N64" s="94">
        <v>4</v>
      </c>
      <c r="O64" s="94">
        <v>484</v>
      </c>
      <c r="P64" s="95" t="s">
        <v>139</v>
      </c>
    </row>
    <row r="65" spans="1:16" ht="18.75" customHeight="1" thickBot="1" x14ac:dyDescent="0.3">
      <c r="A65" s="296"/>
      <c r="B65" s="296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N65" s="94">
        <v>4</v>
      </c>
      <c r="O65" s="94">
        <v>484</v>
      </c>
      <c r="P65" s="95" t="s">
        <v>140</v>
      </c>
    </row>
    <row r="66" spans="1:16" ht="15.75" thickBot="1" x14ac:dyDescent="0.3">
      <c r="A66" s="296"/>
      <c r="B66" s="296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N66" s="94">
        <v>4</v>
      </c>
      <c r="O66" s="94">
        <v>484</v>
      </c>
      <c r="P66" s="95" t="s">
        <v>141</v>
      </c>
    </row>
    <row r="67" spans="1:16" ht="15.75" thickBot="1" x14ac:dyDescent="0.3">
      <c r="A67" s="296"/>
      <c r="B67" s="296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N67" s="94">
        <v>4</v>
      </c>
      <c r="O67" s="94">
        <v>484</v>
      </c>
      <c r="P67" s="95" t="s">
        <v>142</v>
      </c>
    </row>
    <row r="68" spans="1:16" ht="15.75" thickBot="1" x14ac:dyDescent="0.3">
      <c r="A68" s="296"/>
      <c r="B68" s="296"/>
      <c r="C68" s="296"/>
      <c r="D68" s="296"/>
      <c r="E68" s="296"/>
      <c r="F68" s="296"/>
      <c r="G68" s="296"/>
      <c r="H68" s="296"/>
      <c r="I68" s="296"/>
      <c r="J68" s="296"/>
      <c r="K68" s="296"/>
      <c r="L68" s="296"/>
      <c r="N68" s="94">
        <v>4</v>
      </c>
      <c r="O68" s="94">
        <v>490</v>
      </c>
      <c r="P68" s="95" t="s">
        <v>143</v>
      </c>
    </row>
    <row r="69" spans="1:16" ht="15.75" thickBot="1" x14ac:dyDescent="0.3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N69" s="94">
        <v>4</v>
      </c>
      <c r="O69" s="94">
        <v>492</v>
      </c>
      <c r="P69" s="95" t="s">
        <v>144</v>
      </c>
    </row>
    <row r="70" spans="1:16" ht="15.75" thickBot="1" x14ac:dyDescent="0.3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N70" s="94">
        <v>4</v>
      </c>
      <c r="O70" s="94">
        <v>493</v>
      </c>
      <c r="P70" s="95" t="s">
        <v>145</v>
      </c>
    </row>
    <row r="71" spans="1:16" ht="15.75" thickBot="1" x14ac:dyDescent="0.3">
      <c r="A71" s="38"/>
      <c r="B71" s="38"/>
      <c r="C71" s="295"/>
      <c r="D71" s="296"/>
      <c r="E71" s="296"/>
      <c r="F71" s="296"/>
      <c r="G71" s="296"/>
      <c r="H71" s="296"/>
      <c r="I71" s="296"/>
      <c r="J71" s="296"/>
      <c r="K71" s="296"/>
      <c r="L71" s="296"/>
      <c r="N71" s="94">
        <v>4</v>
      </c>
      <c r="O71" s="94">
        <v>434</v>
      </c>
      <c r="P71" s="95" t="s">
        <v>146</v>
      </c>
    </row>
    <row r="72" spans="1:16" ht="15.75" thickBot="1" x14ac:dyDescent="0.3">
      <c r="A72" s="38"/>
      <c r="B72" s="38"/>
      <c r="C72" s="295"/>
      <c r="D72" s="296"/>
      <c r="E72" s="296"/>
      <c r="F72" s="296"/>
      <c r="G72" s="296"/>
      <c r="H72" s="296"/>
      <c r="I72" s="296"/>
      <c r="J72" s="296"/>
      <c r="K72" s="296"/>
      <c r="L72" s="296"/>
      <c r="N72" s="94">
        <v>4</v>
      </c>
      <c r="O72" s="94">
        <v>465</v>
      </c>
      <c r="P72" s="95" t="s">
        <v>147</v>
      </c>
    </row>
    <row r="73" spans="1:16" ht="15.75" thickBot="1" x14ac:dyDescent="0.3">
      <c r="A73" s="38"/>
      <c r="B73" s="38"/>
      <c r="C73" s="296"/>
      <c r="D73" s="296"/>
      <c r="E73" s="296"/>
      <c r="F73" s="296"/>
      <c r="G73" s="296"/>
      <c r="H73" s="296"/>
      <c r="I73" s="296"/>
      <c r="J73" s="296"/>
      <c r="K73" s="296"/>
      <c r="L73" s="296"/>
      <c r="N73" s="97">
        <v>4</v>
      </c>
      <c r="O73" s="97">
        <v>491</v>
      </c>
      <c r="P73" s="98" t="s">
        <v>148</v>
      </c>
    </row>
    <row r="74" spans="1:16" ht="15.75" thickBot="1" x14ac:dyDescent="0.3">
      <c r="A74" s="38"/>
      <c r="B74" s="38"/>
      <c r="C74" s="296"/>
      <c r="D74" s="296"/>
      <c r="E74" s="296"/>
      <c r="F74" s="296"/>
      <c r="G74" s="296"/>
      <c r="H74" s="296"/>
      <c r="I74" s="296"/>
      <c r="J74" s="296"/>
      <c r="K74" s="296"/>
      <c r="L74" s="296"/>
      <c r="N74" s="91">
        <v>5</v>
      </c>
      <c r="O74" s="91">
        <v>506</v>
      </c>
      <c r="P74" s="92" t="s">
        <v>149</v>
      </c>
    </row>
    <row r="75" spans="1:16" ht="15.75" thickBot="1" x14ac:dyDescent="0.3">
      <c r="A75" s="38"/>
      <c r="B75" s="38"/>
      <c r="C75" s="296"/>
      <c r="D75" s="296"/>
      <c r="E75" s="296"/>
      <c r="F75" s="296"/>
      <c r="G75" s="296"/>
      <c r="H75" s="296"/>
      <c r="I75" s="296"/>
      <c r="J75" s="296"/>
      <c r="K75" s="296"/>
      <c r="L75" s="296"/>
      <c r="N75" s="94">
        <v>5</v>
      </c>
      <c r="O75" s="94">
        <v>507</v>
      </c>
      <c r="P75" s="95" t="s">
        <v>150</v>
      </c>
    </row>
    <row r="76" spans="1:16" ht="15.75" thickBot="1" x14ac:dyDescent="0.3">
      <c r="A76" s="38"/>
      <c r="B76" s="38"/>
      <c r="C76" s="296"/>
      <c r="D76" s="296"/>
      <c r="E76" s="296"/>
      <c r="F76" s="296"/>
      <c r="G76" s="296"/>
      <c r="H76" s="296"/>
      <c r="I76" s="296"/>
      <c r="J76" s="296"/>
      <c r="K76" s="296"/>
      <c r="L76" s="296"/>
      <c r="N76" s="94">
        <v>5</v>
      </c>
      <c r="O76" s="94">
        <v>548</v>
      </c>
      <c r="P76" s="95" t="s">
        <v>151</v>
      </c>
    </row>
    <row r="77" spans="1:16" ht="15.75" thickBot="1" x14ac:dyDescent="0.3">
      <c r="A77" s="296"/>
      <c r="B77" s="296"/>
      <c r="C77" s="296"/>
      <c r="D77" s="296"/>
      <c r="E77" s="296"/>
      <c r="F77" s="296"/>
      <c r="G77" s="296"/>
      <c r="H77" s="296"/>
      <c r="I77" s="296"/>
      <c r="J77" s="296"/>
      <c r="K77" s="296"/>
      <c r="L77" s="296"/>
      <c r="N77" s="94">
        <v>5</v>
      </c>
      <c r="O77" s="94">
        <v>583</v>
      </c>
      <c r="P77" s="95" t="s">
        <v>152</v>
      </c>
    </row>
    <row r="78" spans="1:16" ht="15.75" thickBot="1" x14ac:dyDescent="0.3">
      <c r="A78" s="296"/>
      <c r="B78" s="296"/>
      <c r="C78" s="296"/>
      <c r="D78" s="296"/>
      <c r="E78" s="296"/>
      <c r="F78" s="296"/>
      <c r="G78" s="296"/>
      <c r="H78" s="296"/>
      <c r="I78" s="296"/>
      <c r="J78" s="296"/>
      <c r="K78" s="296"/>
      <c r="L78" s="296"/>
      <c r="N78" s="94">
        <v>5</v>
      </c>
      <c r="O78" s="94">
        <v>583</v>
      </c>
      <c r="P78" s="95" t="s">
        <v>153</v>
      </c>
    </row>
    <row r="79" spans="1:16" ht="15.75" thickBot="1" x14ac:dyDescent="0.3">
      <c r="A79" s="296"/>
      <c r="B79" s="296"/>
      <c r="C79" s="296"/>
      <c r="D79" s="296"/>
      <c r="E79" s="296"/>
      <c r="F79" s="296"/>
      <c r="G79" s="296"/>
      <c r="H79" s="296"/>
      <c r="I79" s="296"/>
      <c r="J79" s="296"/>
      <c r="K79" s="296"/>
      <c r="L79" s="296"/>
      <c r="N79" s="94">
        <v>5</v>
      </c>
      <c r="O79" s="94">
        <v>56</v>
      </c>
      <c r="P79" s="95" t="s">
        <v>154</v>
      </c>
    </row>
    <row r="80" spans="1:16" ht="15" customHeight="1" thickBot="1" x14ac:dyDescent="0.3">
      <c r="A80" s="296"/>
      <c r="B80" s="296"/>
      <c r="C80" s="296"/>
      <c r="D80" s="296"/>
      <c r="E80" s="296"/>
      <c r="F80" s="296"/>
      <c r="G80" s="296"/>
      <c r="H80" s="296"/>
      <c r="I80" s="296"/>
      <c r="J80" s="296"/>
      <c r="K80" s="296"/>
      <c r="L80" s="296"/>
      <c r="N80" s="94">
        <v>5</v>
      </c>
      <c r="O80" s="94">
        <v>512</v>
      </c>
      <c r="P80" s="95" t="s">
        <v>155</v>
      </c>
    </row>
    <row r="81" spans="1:16" ht="15.75" thickBot="1" x14ac:dyDescent="0.3">
      <c r="A81" s="296"/>
      <c r="B81" s="296"/>
      <c r="C81" s="296"/>
      <c r="D81" s="296"/>
      <c r="E81" s="296"/>
      <c r="F81" s="296"/>
      <c r="G81" s="296"/>
      <c r="H81" s="296"/>
      <c r="I81" s="296"/>
      <c r="J81" s="296"/>
      <c r="K81" s="296"/>
      <c r="L81" s="296"/>
      <c r="N81" s="94">
        <v>5</v>
      </c>
      <c r="O81" s="94">
        <v>513</v>
      </c>
      <c r="P81" s="95" t="s">
        <v>156</v>
      </c>
    </row>
    <row r="82" spans="1:16" ht="15.75" thickBot="1" x14ac:dyDescent="0.3">
      <c r="A82" s="296"/>
      <c r="B82" s="296"/>
      <c r="C82" s="296"/>
      <c r="D82" s="296"/>
      <c r="E82" s="296"/>
      <c r="F82" s="296"/>
      <c r="G82" s="296"/>
      <c r="H82" s="296"/>
      <c r="I82" s="296"/>
      <c r="J82" s="296"/>
      <c r="K82" s="296"/>
      <c r="L82" s="296"/>
      <c r="N82" s="94">
        <v>5</v>
      </c>
      <c r="O82" s="94">
        <v>514</v>
      </c>
      <c r="P82" s="95" t="s">
        <v>157</v>
      </c>
    </row>
    <row r="83" spans="1:16" ht="15.75" thickBot="1" x14ac:dyDescent="0.3">
      <c r="A83" s="296"/>
      <c r="B83" s="296"/>
      <c r="C83" s="296"/>
      <c r="D83" s="296"/>
      <c r="E83" s="296"/>
      <c r="F83" s="296"/>
      <c r="G83" s="296"/>
      <c r="H83" s="296"/>
      <c r="I83" s="296"/>
      <c r="J83" s="296"/>
      <c r="K83" s="296"/>
      <c r="L83" s="296"/>
      <c r="N83" s="94">
        <v>5</v>
      </c>
      <c r="O83" s="94">
        <v>514</v>
      </c>
      <c r="P83" s="95" t="s">
        <v>158</v>
      </c>
    </row>
    <row r="84" spans="1:16" ht="15.75" thickBot="1" x14ac:dyDescent="0.3">
      <c r="A84" s="296"/>
      <c r="B84" s="296"/>
      <c r="C84" s="296"/>
      <c r="D84" s="296"/>
      <c r="E84" s="296"/>
      <c r="F84" s="296"/>
      <c r="G84" s="296"/>
      <c r="H84" s="296"/>
      <c r="I84" s="296"/>
      <c r="J84" s="296"/>
      <c r="K84" s="296"/>
      <c r="L84" s="296"/>
      <c r="N84" s="94">
        <v>5</v>
      </c>
      <c r="O84" s="94">
        <v>514</v>
      </c>
      <c r="P84" s="95" t="s">
        <v>159</v>
      </c>
    </row>
    <row r="85" spans="1:16" ht="15.75" thickBot="1" x14ac:dyDescent="0.3">
      <c r="A85" s="38"/>
      <c r="B85" s="38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N85" s="94">
        <v>5</v>
      </c>
      <c r="O85" s="94">
        <v>514</v>
      </c>
      <c r="P85" s="95" t="s">
        <v>160</v>
      </c>
    </row>
    <row r="86" spans="1:16" ht="15.75" thickBot="1" x14ac:dyDescent="0.3">
      <c r="A86" s="293"/>
      <c r="B86" s="293"/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79"/>
      <c r="N86" s="94">
        <v>5</v>
      </c>
      <c r="O86" s="94">
        <v>514</v>
      </c>
      <c r="P86" s="95" t="s">
        <v>161</v>
      </c>
    </row>
    <row r="87" spans="1:16" ht="15.75" thickBot="1" x14ac:dyDescent="0.3">
      <c r="A87" s="296"/>
      <c r="B87" s="296"/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79"/>
      <c r="N87" s="94">
        <v>5</v>
      </c>
      <c r="O87" s="94">
        <v>520</v>
      </c>
      <c r="P87" s="95" t="s">
        <v>162</v>
      </c>
    </row>
    <row r="88" spans="1:16" ht="15.75" thickBot="1" x14ac:dyDescent="0.3">
      <c r="A88" s="293"/>
      <c r="B88" s="293"/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79"/>
      <c r="N88" s="94">
        <v>5</v>
      </c>
      <c r="O88" s="94">
        <v>520</v>
      </c>
      <c r="P88" s="95" t="s">
        <v>163</v>
      </c>
    </row>
    <row r="89" spans="1:16" ht="15.75" thickBot="1" x14ac:dyDescent="0.3">
      <c r="A89" s="38"/>
      <c r="B89" s="38"/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79"/>
      <c r="N89" s="94">
        <v>5</v>
      </c>
      <c r="O89" s="94">
        <v>520</v>
      </c>
      <c r="P89" s="95" t="s">
        <v>164</v>
      </c>
    </row>
    <row r="90" spans="1:16" ht="15.75" thickBot="1" x14ac:dyDescent="0.3">
      <c r="A90" s="293"/>
      <c r="B90" s="293"/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79"/>
      <c r="N90" s="94">
        <v>5</v>
      </c>
      <c r="O90" s="94">
        <v>520</v>
      </c>
      <c r="P90" s="95" t="s">
        <v>165</v>
      </c>
    </row>
    <row r="91" spans="1:16" ht="15.75" thickBot="1" x14ac:dyDescent="0.3">
      <c r="A91" s="299"/>
      <c r="B91" s="299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79"/>
      <c r="N91" s="94">
        <v>5</v>
      </c>
      <c r="O91" s="94">
        <v>520</v>
      </c>
      <c r="P91" s="95" t="s">
        <v>166</v>
      </c>
    </row>
    <row r="92" spans="1:16" ht="15.75" thickBot="1" x14ac:dyDescent="0.3">
      <c r="A92" s="301"/>
      <c r="B92" s="301"/>
      <c r="C92" s="302"/>
      <c r="D92" s="302"/>
      <c r="E92" s="302"/>
      <c r="F92" s="302"/>
      <c r="G92" s="302"/>
      <c r="H92" s="302"/>
      <c r="I92" s="302"/>
      <c r="J92" s="302"/>
      <c r="K92" s="302"/>
      <c r="L92" s="302"/>
      <c r="M92" s="79"/>
      <c r="N92" s="94">
        <v>5</v>
      </c>
      <c r="O92" s="94">
        <v>520</v>
      </c>
      <c r="P92" s="95" t="s">
        <v>167</v>
      </c>
    </row>
    <row r="93" spans="1:16" ht="15.75" thickBot="1" x14ac:dyDescent="0.3">
      <c r="A93" s="296"/>
      <c r="B93" s="296"/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79"/>
      <c r="N93" s="94">
        <v>5</v>
      </c>
      <c r="O93" s="94">
        <v>523</v>
      </c>
      <c r="P93" s="95" t="s">
        <v>168</v>
      </c>
    </row>
    <row r="94" spans="1:16" ht="15.75" thickBot="1" x14ac:dyDescent="0.3">
      <c r="A94" s="296"/>
      <c r="B94" s="296"/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79"/>
      <c r="N94" s="94">
        <v>5</v>
      </c>
      <c r="O94" s="94">
        <v>525</v>
      </c>
      <c r="P94" s="95" t="s">
        <v>169</v>
      </c>
    </row>
    <row r="95" spans="1:16" ht="15.75" thickBot="1" x14ac:dyDescent="0.3">
      <c r="A95" s="296"/>
      <c r="B95" s="296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79"/>
      <c r="N95" s="94">
        <v>5</v>
      </c>
      <c r="O95" s="94">
        <v>529</v>
      </c>
      <c r="P95" s="95" t="s">
        <v>170</v>
      </c>
    </row>
    <row r="96" spans="1:16" ht="15.75" thickBot="1" x14ac:dyDescent="0.3">
      <c r="A96" s="296"/>
      <c r="B96" s="296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79"/>
      <c r="N96" s="94">
        <v>5</v>
      </c>
      <c r="O96" s="94">
        <v>529</v>
      </c>
      <c r="P96" s="95" t="s">
        <v>171</v>
      </c>
    </row>
    <row r="97" spans="1:16" ht="15.75" thickBot="1" x14ac:dyDescent="0.3">
      <c r="A97" s="301"/>
      <c r="B97" s="301"/>
      <c r="C97" s="302"/>
      <c r="D97" s="302"/>
      <c r="E97" s="302"/>
      <c r="F97" s="302"/>
      <c r="G97" s="302"/>
      <c r="H97" s="302"/>
      <c r="I97" s="302"/>
      <c r="J97" s="302"/>
      <c r="K97" s="302"/>
      <c r="L97" s="302"/>
      <c r="M97" s="79"/>
      <c r="N97" s="94">
        <v>5</v>
      </c>
      <c r="O97" s="94">
        <v>529</v>
      </c>
      <c r="P97" s="95" t="s">
        <v>172</v>
      </c>
    </row>
    <row r="98" spans="1:16" ht="15.75" thickBot="1" x14ac:dyDescent="0.3">
      <c r="A98" s="296"/>
      <c r="B98" s="296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79"/>
      <c r="N98" s="94">
        <v>5</v>
      </c>
      <c r="O98" s="94">
        <v>582</v>
      </c>
      <c r="P98" s="95" t="s">
        <v>173</v>
      </c>
    </row>
    <row r="99" spans="1:16" ht="15.75" thickBot="1" x14ac:dyDescent="0.3">
      <c r="A99" s="296"/>
      <c r="B99" s="296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79"/>
      <c r="N99" s="94">
        <v>5</v>
      </c>
      <c r="O99" s="94">
        <v>582</v>
      </c>
      <c r="P99" s="95" t="s">
        <v>174</v>
      </c>
    </row>
    <row r="100" spans="1:16" ht="15.75" thickBot="1" x14ac:dyDescent="0.3">
      <c r="A100" s="296"/>
      <c r="B100" s="296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79"/>
      <c r="N100" s="94">
        <v>5</v>
      </c>
      <c r="O100" s="94">
        <v>50</v>
      </c>
      <c r="P100" s="95" t="s">
        <v>175</v>
      </c>
    </row>
    <row r="101" spans="1:16" ht="15.75" thickBot="1" x14ac:dyDescent="0.3">
      <c r="A101" s="296"/>
      <c r="B101" s="296"/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79"/>
      <c r="N101" s="94">
        <v>5</v>
      </c>
      <c r="O101" s="94">
        <v>52</v>
      </c>
      <c r="P101" s="95" t="s">
        <v>176</v>
      </c>
    </row>
    <row r="102" spans="1:16" ht="15.75" thickBot="1" x14ac:dyDescent="0.3">
      <c r="A102" s="296"/>
      <c r="B102" s="296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79"/>
      <c r="N102" s="94">
        <v>5</v>
      </c>
      <c r="O102" s="94">
        <v>53</v>
      </c>
      <c r="P102" s="95" t="s">
        <v>177</v>
      </c>
    </row>
    <row r="103" spans="1:16" ht="15.75" thickBot="1" x14ac:dyDescent="0.3">
      <c r="A103" s="296"/>
      <c r="B103" s="296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79"/>
      <c r="N103" s="97">
        <v>5</v>
      </c>
      <c r="O103" s="97">
        <v>54</v>
      </c>
      <c r="P103" s="98" t="s">
        <v>178</v>
      </c>
    </row>
    <row r="104" spans="1:16" ht="15.75" thickBot="1" x14ac:dyDescent="0.3">
      <c r="A104" s="296"/>
      <c r="B104" s="296"/>
      <c r="C104" s="295"/>
      <c r="D104" s="295"/>
      <c r="E104" s="295"/>
      <c r="F104" s="295"/>
      <c r="G104" s="295"/>
      <c r="H104" s="295"/>
      <c r="I104" s="295"/>
      <c r="J104" s="295"/>
      <c r="K104" s="295"/>
      <c r="L104" s="295"/>
      <c r="M104" s="79"/>
      <c r="N104" s="91">
        <v>5</v>
      </c>
      <c r="O104" s="91">
        <v>55</v>
      </c>
      <c r="P104" s="92" t="s">
        <v>179</v>
      </c>
    </row>
    <row r="105" spans="1:16" ht="15.75" thickBot="1" x14ac:dyDescent="0.3">
      <c r="A105" s="296"/>
      <c r="B105" s="296"/>
      <c r="C105" s="295"/>
      <c r="D105" s="295"/>
      <c r="E105" s="295"/>
      <c r="F105" s="295"/>
      <c r="G105" s="295"/>
      <c r="H105" s="295"/>
      <c r="I105" s="295"/>
      <c r="J105" s="295"/>
      <c r="K105" s="295"/>
      <c r="L105" s="295"/>
      <c r="M105" s="79"/>
      <c r="N105" s="94">
        <v>5</v>
      </c>
      <c r="O105" s="94">
        <v>57</v>
      </c>
      <c r="P105" s="95" t="s">
        <v>180</v>
      </c>
    </row>
    <row r="106" spans="1:16" ht="15.75" thickBot="1" x14ac:dyDescent="0.3">
      <c r="A106" s="301"/>
      <c r="B106" s="301"/>
      <c r="C106" s="302"/>
      <c r="D106" s="302"/>
      <c r="E106" s="302"/>
      <c r="F106" s="302"/>
      <c r="G106" s="302"/>
      <c r="H106" s="302"/>
      <c r="I106" s="302"/>
      <c r="J106" s="302"/>
      <c r="K106" s="302"/>
      <c r="L106" s="302"/>
      <c r="M106" s="79"/>
      <c r="N106" s="94">
        <v>5</v>
      </c>
      <c r="O106" s="94">
        <v>59</v>
      </c>
      <c r="P106" s="95" t="s">
        <v>181</v>
      </c>
    </row>
    <row r="107" spans="1:16" ht="15.75" thickBot="1" x14ac:dyDescent="0.3">
      <c r="A107" s="296"/>
      <c r="B107" s="296"/>
      <c r="C107" s="295"/>
      <c r="D107" s="295"/>
      <c r="E107" s="295"/>
      <c r="F107" s="295"/>
      <c r="G107" s="295"/>
      <c r="H107" s="295"/>
      <c r="I107" s="295"/>
      <c r="J107" s="295"/>
      <c r="K107" s="295"/>
      <c r="L107" s="295"/>
      <c r="M107" s="79"/>
      <c r="N107" s="94">
        <v>5</v>
      </c>
      <c r="O107" s="94">
        <v>517</v>
      </c>
      <c r="P107" s="95" t="s">
        <v>182</v>
      </c>
    </row>
    <row r="108" spans="1:16" ht="15.75" thickBot="1" x14ac:dyDescent="0.3">
      <c r="A108" s="296"/>
      <c r="B108" s="296"/>
      <c r="C108" s="295"/>
      <c r="D108" s="295"/>
      <c r="E108" s="295"/>
      <c r="F108" s="295"/>
      <c r="G108" s="295"/>
      <c r="H108" s="295"/>
      <c r="I108" s="295"/>
      <c r="J108" s="295"/>
      <c r="K108" s="295"/>
      <c r="L108" s="295"/>
      <c r="M108" s="79"/>
      <c r="N108" s="94">
        <v>5</v>
      </c>
      <c r="O108" s="94">
        <v>561</v>
      </c>
      <c r="P108" s="95" t="s">
        <v>183</v>
      </c>
    </row>
    <row r="109" spans="1:16" ht="15.75" thickBot="1" x14ac:dyDescent="0.3">
      <c r="A109" s="301"/>
      <c r="B109" s="301"/>
      <c r="C109" s="302"/>
      <c r="D109" s="302"/>
      <c r="E109" s="302"/>
      <c r="F109" s="302"/>
      <c r="G109" s="302"/>
      <c r="H109" s="302"/>
      <c r="I109" s="302"/>
      <c r="J109" s="302"/>
      <c r="K109" s="302"/>
      <c r="L109" s="302"/>
      <c r="M109" s="79"/>
      <c r="N109" s="94">
        <v>5</v>
      </c>
      <c r="O109" s="94">
        <v>568</v>
      </c>
      <c r="P109" s="95" t="s">
        <v>184</v>
      </c>
    </row>
    <row r="110" spans="1:16" ht="15.75" thickBot="1" x14ac:dyDescent="0.3">
      <c r="A110" s="296"/>
      <c r="B110" s="296"/>
      <c r="C110" s="295"/>
      <c r="D110" s="295"/>
      <c r="E110" s="295"/>
      <c r="F110" s="295"/>
      <c r="G110" s="295"/>
      <c r="H110" s="295"/>
      <c r="I110" s="295"/>
      <c r="J110" s="295"/>
      <c r="K110" s="295"/>
      <c r="L110" s="295"/>
      <c r="M110" s="79"/>
      <c r="N110" s="94">
        <v>5</v>
      </c>
      <c r="O110" s="94">
        <v>51</v>
      </c>
      <c r="P110" s="95" t="s">
        <v>185</v>
      </c>
    </row>
    <row r="111" spans="1:16" ht="15.75" thickBot="1" x14ac:dyDescent="0.3">
      <c r="A111" s="296"/>
      <c r="B111" s="296"/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79"/>
      <c r="N111" s="94">
        <v>5</v>
      </c>
      <c r="O111" s="94">
        <v>58</v>
      </c>
      <c r="P111" s="95" t="s">
        <v>186</v>
      </c>
    </row>
    <row r="112" spans="1:16" ht="15.75" thickBot="1" x14ac:dyDescent="0.3">
      <c r="A112" s="304"/>
      <c r="B112" s="304"/>
      <c r="C112" s="295"/>
      <c r="D112" s="295"/>
      <c r="E112" s="295"/>
      <c r="F112" s="295"/>
      <c r="G112" s="295"/>
      <c r="H112" s="295"/>
      <c r="I112" s="295"/>
      <c r="J112" s="295"/>
      <c r="K112" s="295"/>
      <c r="L112" s="295"/>
      <c r="M112" s="79"/>
      <c r="N112" s="94">
        <v>5</v>
      </c>
      <c r="O112" s="94">
        <v>505</v>
      </c>
      <c r="P112" s="95" t="s">
        <v>187</v>
      </c>
    </row>
    <row r="113" spans="1:16" ht="15.75" thickBot="1" x14ac:dyDescent="0.3">
      <c r="A113" s="304"/>
      <c r="B113" s="304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79"/>
      <c r="N113" s="94">
        <v>5</v>
      </c>
      <c r="O113" s="94">
        <v>506</v>
      </c>
      <c r="P113" s="95" t="s">
        <v>188</v>
      </c>
    </row>
    <row r="114" spans="1:16" ht="15.75" thickBot="1" x14ac:dyDescent="0.3">
      <c r="A114" s="296"/>
      <c r="B114" s="296"/>
      <c r="C114" s="295"/>
      <c r="D114" s="295"/>
      <c r="E114" s="295"/>
      <c r="F114" s="295"/>
      <c r="G114" s="295"/>
      <c r="H114" s="295"/>
      <c r="I114" s="295"/>
      <c r="J114" s="295"/>
      <c r="K114" s="295"/>
      <c r="L114" s="295"/>
      <c r="M114" s="79"/>
      <c r="N114" s="94">
        <v>5</v>
      </c>
      <c r="O114" s="94">
        <v>510</v>
      </c>
      <c r="P114" s="95" t="s">
        <v>189</v>
      </c>
    </row>
    <row r="115" spans="1:16" ht="15.75" thickBot="1" x14ac:dyDescent="0.3">
      <c r="A115" s="296"/>
      <c r="B115" s="296"/>
      <c r="C115" s="295"/>
      <c r="D115" s="295"/>
      <c r="E115" s="295"/>
      <c r="F115" s="295"/>
      <c r="G115" s="295"/>
      <c r="H115" s="295"/>
      <c r="I115" s="295"/>
      <c r="J115" s="295"/>
      <c r="K115" s="295"/>
      <c r="L115" s="295"/>
      <c r="M115" s="79"/>
      <c r="N115" s="93">
        <v>5</v>
      </c>
      <c r="O115" s="94">
        <v>511</v>
      </c>
      <c r="P115" s="95" t="s">
        <v>190</v>
      </c>
    </row>
    <row r="116" spans="1:16" ht="15.75" thickBot="1" x14ac:dyDescent="0.3">
      <c r="A116" s="296"/>
      <c r="B116" s="296"/>
      <c r="C116" s="295"/>
      <c r="D116" s="295"/>
      <c r="E116" s="295"/>
      <c r="F116" s="295"/>
      <c r="G116" s="295"/>
      <c r="H116" s="295"/>
      <c r="I116" s="295"/>
      <c r="J116" s="295"/>
      <c r="K116" s="295"/>
      <c r="L116" s="295"/>
      <c r="M116" s="79"/>
      <c r="N116" s="93">
        <v>5</v>
      </c>
      <c r="O116" s="94">
        <v>518</v>
      </c>
      <c r="P116" s="95" t="s">
        <v>191</v>
      </c>
    </row>
    <row r="117" spans="1:16" ht="15.75" thickBot="1" x14ac:dyDescent="0.3">
      <c r="A117" s="296"/>
      <c r="B117" s="296"/>
      <c r="C117" s="295"/>
      <c r="D117" s="295"/>
      <c r="E117" s="295"/>
      <c r="F117" s="295"/>
      <c r="G117" s="295"/>
      <c r="H117" s="295"/>
      <c r="I117" s="295"/>
      <c r="J117" s="295"/>
      <c r="K117" s="295"/>
      <c r="L117" s="295"/>
      <c r="M117" s="79"/>
      <c r="N117" s="93">
        <v>5</v>
      </c>
      <c r="O117" s="94">
        <v>518</v>
      </c>
      <c r="P117" s="95" t="s">
        <v>192</v>
      </c>
    </row>
    <row r="118" spans="1:16" ht="15.75" thickBot="1" x14ac:dyDescent="0.3">
      <c r="A118" s="304"/>
      <c r="B118" s="304"/>
      <c r="C118" s="295"/>
      <c r="D118" s="295"/>
      <c r="E118" s="295"/>
      <c r="F118" s="295"/>
      <c r="G118" s="295"/>
      <c r="H118" s="295"/>
      <c r="I118" s="295"/>
      <c r="J118" s="295"/>
      <c r="K118" s="295"/>
      <c r="L118" s="295"/>
      <c r="M118" s="79"/>
      <c r="N118" s="93">
        <v>5</v>
      </c>
      <c r="O118" s="94">
        <v>518</v>
      </c>
      <c r="P118" s="95" t="s">
        <v>193</v>
      </c>
    </row>
    <row r="119" spans="1:16" ht="15.75" thickBot="1" x14ac:dyDescent="0.3">
      <c r="A119" s="296"/>
      <c r="B119" s="296"/>
      <c r="C119" s="295"/>
      <c r="D119" s="295"/>
      <c r="E119" s="295"/>
      <c r="F119" s="295"/>
      <c r="G119" s="295"/>
      <c r="H119" s="295"/>
      <c r="I119" s="295"/>
      <c r="J119" s="295"/>
      <c r="K119" s="295"/>
      <c r="L119" s="295"/>
      <c r="M119" s="79"/>
      <c r="N119" s="93">
        <v>5</v>
      </c>
      <c r="O119" s="94">
        <v>518</v>
      </c>
      <c r="P119" s="95" t="s">
        <v>194</v>
      </c>
    </row>
    <row r="120" spans="1:16" ht="15.75" thickBot="1" x14ac:dyDescent="0.3">
      <c r="A120" s="296"/>
      <c r="B120" s="296"/>
      <c r="C120" s="295"/>
      <c r="D120" s="295"/>
      <c r="E120" s="295"/>
      <c r="F120" s="295"/>
      <c r="G120" s="295"/>
      <c r="H120" s="295"/>
      <c r="I120" s="295"/>
      <c r="J120" s="295"/>
      <c r="K120" s="295"/>
      <c r="L120" s="295"/>
      <c r="M120" s="79"/>
      <c r="N120" s="93">
        <v>5</v>
      </c>
      <c r="O120" s="94">
        <v>518</v>
      </c>
      <c r="P120" s="95" t="s">
        <v>195</v>
      </c>
    </row>
    <row r="121" spans="1:16" ht="15.75" thickBot="1" x14ac:dyDescent="0.3">
      <c r="A121" s="296"/>
      <c r="B121" s="296"/>
      <c r="C121" s="295"/>
      <c r="D121" s="295"/>
      <c r="E121" s="295"/>
      <c r="F121" s="295"/>
      <c r="G121" s="295"/>
      <c r="H121" s="295"/>
      <c r="I121" s="295"/>
      <c r="J121" s="295"/>
      <c r="K121" s="295"/>
      <c r="L121" s="295"/>
      <c r="M121" s="79"/>
      <c r="N121" s="93">
        <v>5</v>
      </c>
      <c r="O121" s="94">
        <v>535</v>
      </c>
      <c r="P121" s="95" t="s">
        <v>196</v>
      </c>
    </row>
    <row r="122" spans="1:16" ht="15.75" thickBot="1" x14ac:dyDescent="0.3">
      <c r="A122" s="296"/>
      <c r="B122" s="296"/>
      <c r="C122" s="295"/>
      <c r="D122" s="295"/>
      <c r="E122" s="295"/>
      <c r="F122" s="295"/>
      <c r="G122" s="295"/>
      <c r="H122" s="295"/>
      <c r="I122" s="295"/>
      <c r="J122" s="295"/>
      <c r="K122" s="295"/>
      <c r="L122" s="295"/>
      <c r="M122" s="79"/>
      <c r="N122" s="93">
        <v>5</v>
      </c>
      <c r="O122" s="94">
        <v>535</v>
      </c>
      <c r="P122" s="95" t="s">
        <v>197</v>
      </c>
    </row>
    <row r="123" spans="1:16" ht="15.75" thickBot="1" x14ac:dyDescent="0.3">
      <c r="A123" s="296"/>
      <c r="B123" s="296"/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79"/>
      <c r="N123" s="93">
        <v>5</v>
      </c>
      <c r="O123" s="94">
        <v>535</v>
      </c>
      <c r="P123" s="95" t="s">
        <v>198</v>
      </c>
    </row>
    <row r="124" spans="1:16" ht="15.75" thickBot="1" x14ac:dyDescent="0.3">
      <c r="A124" s="301"/>
      <c r="B124" s="301"/>
      <c r="C124" s="302"/>
      <c r="D124" s="302"/>
      <c r="E124" s="302"/>
      <c r="F124" s="302"/>
      <c r="G124" s="302"/>
      <c r="H124" s="302"/>
      <c r="I124" s="302"/>
      <c r="J124" s="302"/>
      <c r="K124" s="302"/>
      <c r="L124" s="302"/>
      <c r="M124" s="79"/>
      <c r="N124" s="93">
        <v>5</v>
      </c>
      <c r="O124" s="94">
        <v>579</v>
      </c>
      <c r="P124" s="95" t="s">
        <v>199</v>
      </c>
    </row>
    <row r="125" spans="1:16" ht="15.75" thickBot="1" x14ac:dyDescent="0.3">
      <c r="A125" s="296"/>
      <c r="B125" s="296"/>
      <c r="C125" s="295"/>
      <c r="D125" s="295"/>
      <c r="E125" s="295"/>
      <c r="F125" s="295"/>
      <c r="G125" s="295"/>
      <c r="H125" s="295"/>
      <c r="I125" s="295"/>
      <c r="J125" s="295"/>
      <c r="K125" s="295"/>
      <c r="L125" s="295"/>
      <c r="M125" s="79"/>
      <c r="N125" s="93">
        <v>5</v>
      </c>
      <c r="O125" s="94">
        <v>579</v>
      </c>
      <c r="P125" s="95" t="s">
        <v>200</v>
      </c>
    </row>
    <row r="126" spans="1:16" ht="15.75" thickBot="1" x14ac:dyDescent="0.3">
      <c r="A126" s="296"/>
      <c r="B126" s="296"/>
      <c r="C126" s="295"/>
      <c r="D126" s="295"/>
      <c r="E126" s="295"/>
      <c r="F126" s="295"/>
      <c r="G126" s="295"/>
      <c r="H126" s="295"/>
      <c r="I126" s="295"/>
      <c r="J126" s="295"/>
      <c r="K126" s="295"/>
      <c r="L126" s="295"/>
      <c r="M126" s="79"/>
      <c r="N126" s="93">
        <v>5</v>
      </c>
      <c r="O126" s="94">
        <v>579</v>
      </c>
      <c r="P126" s="95" t="s">
        <v>201</v>
      </c>
    </row>
    <row r="127" spans="1:16" ht="15.75" thickBot="1" x14ac:dyDescent="0.3">
      <c r="A127" s="296"/>
      <c r="B127" s="296"/>
      <c r="C127" s="296"/>
      <c r="D127" s="296"/>
      <c r="E127" s="296"/>
      <c r="F127" s="296"/>
      <c r="G127" s="296"/>
      <c r="H127" s="296"/>
      <c r="I127" s="296"/>
      <c r="J127" s="296"/>
      <c r="K127" s="296"/>
      <c r="L127" s="296"/>
      <c r="M127" s="79"/>
      <c r="N127" s="93">
        <v>5</v>
      </c>
      <c r="O127" s="94">
        <v>579</v>
      </c>
      <c r="P127" s="95" t="s">
        <v>202</v>
      </c>
    </row>
    <row r="128" spans="1:16" ht="15.75" thickBot="1" x14ac:dyDescent="0.3">
      <c r="A128" s="296"/>
      <c r="B128" s="296"/>
      <c r="C128" s="296"/>
      <c r="D128" s="296"/>
      <c r="E128" s="296"/>
      <c r="F128" s="296"/>
      <c r="G128" s="296"/>
      <c r="H128" s="296"/>
      <c r="I128" s="296"/>
      <c r="J128" s="296"/>
      <c r="K128" s="296"/>
      <c r="L128" s="296"/>
      <c r="M128" s="79"/>
      <c r="N128" s="93">
        <v>5</v>
      </c>
      <c r="O128" s="94">
        <v>580</v>
      </c>
      <c r="P128" s="95" t="s">
        <v>203</v>
      </c>
    </row>
    <row r="129" spans="1:16" ht="15.75" thickBot="1" x14ac:dyDescent="0.3">
      <c r="A129" s="296"/>
      <c r="B129" s="296"/>
      <c r="C129" s="296"/>
      <c r="D129" s="296"/>
      <c r="E129" s="296"/>
      <c r="F129" s="296"/>
      <c r="G129" s="296"/>
      <c r="H129" s="296"/>
      <c r="I129" s="296"/>
      <c r="J129" s="296"/>
      <c r="K129" s="296"/>
      <c r="L129" s="296"/>
      <c r="M129" s="79"/>
      <c r="N129" s="93">
        <v>5</v>
      </c>
      <c r="O129" s="94">
        <v>581</v>
      </c>
      <c r="P129" s="95" t="s">
        <v>204</v>
      </c>
    </row>
    <row r="130" spans="1:16" ht="15.75" thickBot="1" x14ac:dyDescent="0.3">
      <c r="A130" s="296"/>
      <c r="B130" s="296"/>
      <c r="C130" s="296"/>
      <c r="D130" s="296"/>
      <c r="E130" s="296"/>
      <c r="F130" s="296"/>
      <c r="G130" s="296"/>
      <c r="H130" s="296"/>
      <c r="I130" s="296"/>
      <c r="J130" s="296"/>
      <c r="K130" s="296"/>
      <c r="L130" s="296"/>
      <c r="M130" s="79"/>
      <c r="N130" s="93">
        <v>5</v>
      </c>
      <c r="O130" s="94">
        <v>582</v>
      </c>
      <c r="P130" s="95" t="s">
        <v>205</v>
      </c>
    </row>
    <row r="131" spans="1:16" ht="15.75" thickBot="1" x14ac:dyDescent="0.3">
      <c r="A131" s="296"/>
      <c r="B131" s="296"/>
      <c r="C131" s="296"/>
      <c r="D131" s="296"/>
      <c r="E131" s="296"/>
      <c r="F131" s="296"/>
      <c r="G131" s="296"/>
      <c r="H131" s="296"/>
      <c r="I131" s="296"/>
      <c r="J131" s="296"/>
      <c r="K131" s="296"/>
      <c r="L131" s="296"/>
      <c r="M131" s="79"/>
      <c r="N131" s="93">
        <v>5</v>
      </c>
      <c r="O131" s="94">
        <v>501</v>
      </c>
      <c r="P131" s="95" t="s">
        <v>206</v>
      </c>
    </row>
    <row r="132" spans="1:16" ht="15.75" thickBot="1" x14ac:dyDescent="0.3">
      <c r="A132" s="296"/>
      <c r="B132" s="296"/>
      <c r="C132" s="296"/>
      <c r="D132" s="296"/>
      <c r="E132" s="296"/>
      <c r="F132" s="296"/>
      <c r="G132" s="296"/>
      <c r="H132" s="296"/>
      <c r="I132" s="296"/>
      <c r="J132" s="296"/>
      <c r="K132" s="296"/>
      <c r="L132" s="296"/>
      <c r="M132" s="79"/>
      <c r="N132" s="93">
        <v>5</v>
      </c>
      <c r="O132" s="94">
        <v>501</v>
      </c>
      <c r="P132" s="95" t="s">
        <v>207</v>
      </c>
    </row>
    <row r="133" spans="1:16" ht="15.75" thickBot="1" x14ac:dyDescent="0.3">
      <c r="A133" s="296"/>
      <c r="B133" s="296"/>
      <c r="C133" s="296"/>
      <c r="D133" s="296"/>
      <c r="E133" s="296"/>
      <c r="F133" s="296"/>
      <c r="G133" s="296"/>
      <c r="H133" s="296"/>
      <c r="I133" s="296"/>
      <c r="J133" s="296"/>
      <c r="K133" s="296"/>
      <c r="L133" s="296"/>
      <c r="M133" s="79"/>
      <c r="N133" s="96">
        <v>5</v>
      </c>
      <c r="O133" s="97">
        <v>511</v>
      </c>
      <c r="P133" s="98" t="s">
        <v>208</v>
      </c>
    </row>
    <row r="134" spans="1:16" ht="15.75" thickBot="1" x14ac:dyDescent="0.3">
      <c r="A134" s="296"/>
      <c r="B134" s="296"/>
      <c r="C134" s="296"/>
      <c r="D134" s="296"/>
      <c r="E134" s="296"/>
      <c r="F134" s="296"/>
      <c r="G134" s="296"/>
      <c r="H134" s="296"/>
      <c r="I134" s="296"/>
      <c r="J134" s="296"/>
      <c r="K134" s="296"/>
      <c r="L134" s="296"/>
      <c r="M134" s="79"/>
      <c r="N134" s="99">
        <v>5</v>
      </c>
      <c r="O134" s="91">
        <v>524</v>
      </c>
      <c r="P134" s="92" t="s">
        <v>209</v>
      </c>
    </row>
    <row r="135" spans="1:16" ht="15.75" thickBot="1" x14ac:dyDescent="0.3">
      <c r="A135" s="296"/>
      <c r="B135" s="296"/>
      <c r="C135" s="296"/>
      <c r="D135" s="296"/>
      <c r="E135" s="296"/>
      <c r="F135" s="296"/>
      <c r="G135" s="296"/>
      <c r="H135" s="296"/>
      <c r="I135" s="296"/>
      <c r="J135" s="296"/>
      <c r="K135" s="296"/>
      <c r="L135" s="296"/>
      <c r="M135" s="79"/>
      <c r="N135" s="93">
        <v>5</v>
      </c>
      <c r="O135" s="94">
        <v>571</v>
      </c>
      <c r="P135" s="95" t="s">
        <v>210</v>
      </c>
    </row>
    <row r="136" spans="1:16" ht="15.75" thickBot="1" x14ac:dyDescent="0.3">
      <c r="A136" s="296"/>
      <c r="B136" s="296"/>
      <c r="C136" s="296"/>
      <c r="D136" s="296"/>
      <c r="E136" s="296"/>
      <c r="F136" s="296"/>
      <c r="G136" s="296"/>
      <c r="H136" s="296"/>
      <c r="I136" s="296"/>
      <c r="J136" s="296"/>
      <c r="K136" s="296"/>
      <c r="L136" s="296"/>
      <c r="M136" s="79"/>
      <c r="N136" s="93">
        <v>5</v>
      </c>
      <c r="O136" s="94">
        <v>571</v>
      </c>
      <c r="P136" s="95" t="s">
        <v>211</v>
      </c>
    </row>
    <row r="137" spans="1:16" ht="15.75" thickBot="1" x14ac:dyDescent="0.3">
      <c r="A137" s="296"/>
      <c r="B137" s="296"/>
      <c r="C137" s="296"/>
      <c r="D137" s="296"/>
      <c r="E137" s="296"/>
      <c r="F137" s="296"/>
      <c r="G137" s="296"/>
      <c r="H137" s="296"/>
      <c r="I137" s="296"/>
      <c r="J137" s="296"/>
      <c r="K137" s="296"/>
      <c r="L137" s="296"/>
      <c r="M137" s="79"/>
      <c r="N137" s="93">
        <v>5</v>
      </c>
      <c r="O137" s="94">
        <v>581</v>
      </c>
      <c r="P137" s="95" t="s">
        <v>212</v>
      </c>
    </row>
    <row r="138" spans="1:16" ht="15.75" thickBot="1" x14ac:dyDescent="0.3">
      <c r="A138" s="296"/>
      <c r="B138" s="296"/>
      <c r="C138" s="296"/>
      <c r="D138" s="296"/>
      <c r="E138" s="296"/>
      <c r="F138" s="296"/>
      <c r="G138" s="296"/>
      <c r="H138" s="296"/>
      <c r="I138" s="296"/>
      <c r="J138" s="296"/>
      <c r="K138" s="296"/>
      <c r="L138" s="296"/>
      <c r="M138" s="79"/>
      <c r="N138" s="93">
        <v>5</v>
      </c>
      <c r="O138" s="94">
        <v>581</v>
      </c>
      <c r="P138" s="95" t="s">
        <v>213</v>
      </c>
    </row>
    <row r="139" spans="1:16" ht="15.75" thickBot="1" x14ac:dyDescent="0.3">
      <c r="A139" s="296"/>
      <c r="B139" s="296"/>
      <c r="C139" s="296"/>
      <c r="D139" s="296"/>
      <c r="E139" s="296"/>
      <c r="F139" s="296"/>
      <c r="G139" s="296"/>
      <c r="H139" s="296"/>
      <c r="I139" s="296"/>
      <c r="J139" s="296"/>
      <c r="K139" s="296"/>
      <c r="L139" s="296"/>
      <c r="M139" s="79"/>
      <c r="N139" s="93">
        <v>6</v>
      </c>
      <c r="O139" s="94">
        <v>600</v>
      </c>
      <c r="P139" s="95" t="s">
        <v>214</v>
      </c>
    </row>
    <row r="140" spans="1:16" ht="15.75" thickBot="1" x14ac:dyDescent="0.3">
      <c r="A140" s="296"/>
      <c r="B140" s="296"/>
      <c r="C140" s="296"/>
      <c r="D140" s="296"/>
      <c r="E140" s="296"/>
      <c r="F140" s="296"/>
      <c r="G140" s="296"/>
      <c r="H140" s="296"/>
      <c r="I140" s="296"/>
      <c r="J140" s="296"/>
      <c r="K140" s="296"/>
      <c r="L140" s="296"/>
      <c r="M140" s="79"/>
      <c r="N140" s="93">
        <v>6</v>
      </c>
      <c r="O140" s="94">
        <v>601</v>
      </c>
      <c r="P140" s="95" t="s">
        <v>215</v>
      </c>
    </row>
    <row r="141" spans="1:16" ht="15.75" thickBot="1" x14ac:dyDescent="0.3">
      <c r="A141" s="296"/>
      <c r="B141" s="296"/>
      <c r="C141" s="296"/>
      <c r="D141" s="296"/>
      <c r="E141" s="296"/>
      <c r="F141" s="296"/>
      <c r="G141" s="296"/>
      <c r="H141" s="296"/>
      <c r="I141" s="296"/>
      <c r="J141" s="296"/>
      <c r="K141" s="296"/>
      <c r="L141" s="296"/>
      <c r="M141" s="79"/>
      <c r="N141" s="93">
        <v>6</v>
      </c>
      <c r="O141" s="94">
        <v>623</v>
      </c>
      <c r="P141" s="95" t="s">
        <v>216</v>
      </c>
    </row>
    <row r="142" spans="1:16" ht="15.75" thickBot="1" x14ac:dyDescent="0.3">
      <c r="A142" s="296"/>
      <c r="B142" s="296"/>
      <c r="C142" s="296"/>
      <c r="D142" s="296"/>
      <c r="E142" s="296"/>
      <c r="F142" s="296"/>
      <c r="G142" s="296"/>
      <c r="H142" s="296"/>
      <c r="I142" s="296"/>
      <c r="J142" s="296"/>
      <c r="K142" s="296"/>
      <c r="L142" s="296"/>
      <c r="M142" s="79"/>
      <c r="N142" s="93">
        <v>6</v>
      </c>
      <c r="O142" s="94">
        <v>641</v>
      </c>
      <c r="P142" s="95" t="s">
        <v>217</v>
      </c>
    </row>
    <row r="143" spans="1:16" ht="15.75" thickBot="1" x14ac:dyDescent="0.3">
      <c r="A143" s="296"/>
      <c r="B143" s="296"/>
      <c r="C143" s="296"/>
      <c r="D143" s="296"/>
      <c r="E143" s="296"/>
      <c r="F143" s="296"/>
      <c r="G143" s="296"/>
      <c r="H143" s="296"/>
      <c r="I143" s="296"/>
      <c r="J143" s="296"/>
      <c r="K143" s="296"/>
      <c r="L143" s="296"/>
      <c r="M143" s="79"/>
      <c r="N143" s="93">
        <v>6</v>
      </c>
      <c r="O143" s="94">
        <v>648</v>
      </c>
      <c r="P143" s="95" t="s">
        <v>218</v>
      </c>
    </row>
    <row r="144" spans="1:16" ht="15.75" thickBot="1" x14ac:dyDescent="0.3">
      <c r="A144" s="296"/>
      <c r="B144" s="296"/>
      <c r="C144" s="296"/>
      <c r="D144" s="296"/>
      <c r="E144" s="296"/>
      <c r="F144" s="296"/>
      <c r="G144" s="296"/>
      <c r="H144" s="296"/>
      <c r="I144" s="296"/>
      <c r="J144" s="296"/>
      <c r="K144" s="296"/>
      <c r="L144" s="296"/>
      <c r="M144" s="79"/>
      <c r="N144" s="93">
        <v>6</v>
      </c>
      <c r="O144" s="94">
        <v>657</v>
      </c>
      <c r="P144" s="95" t="s">
        <v>219</v>
      </c>
    </row>
    <row r="145" spans="1:16" ht="15.75" thickBot="1" x14ac:dyDescent="0.3">
      <c r="A145" s="296"/>
      <c r="B145" s="296"/>
      <c r="C145" s="296"/>
      <c r="D145" s="296"/>
      <c r="E145" s="296"/>
      <c r="F145" s="296"/>
      <c r="G145" s="296"/>
      <c r="H145" s="296"/>
      <c r="I145" s="296"/>
      <c r="J145" s="296"/>
      <c r="K145" s="296"/>
      <c r="L145" s="296"/>
      <c r="M145" s="79"/>
      <c r="N145" s="93">
        <v>6</v>
      </c>
      <c r="O145" s="94">
        <v>660</v>
      </c>
      <c r="P145" s="95" t="s">
        <v>220</v>
      </c>
    </row>
    <row r="146" spans="1:16" ht="15.75" thickBot="1" x14ac:dyDescent="0.3">
      <c r="A146" s="296"/>
      <c r="B146" s="296"/>
      <c r="C146" s="296"/>
      <c r="D146" s="296"/>
      <c r="E146" s="296"/>
      <c r="F146" s="296"/>
      <c r="G146" s="296"/>
      <c r="H146" s="296"/>
      <c r="I146" s="296"/>
      <c r="J146" s="296"/>
      <c r="K146" s="296"/>
      <c r="L146" s="296"/>
      <c r="M146" s="79"/>
      <c r="N146" s="93">
        <v>6</v>
      </c>
      <c r="O146" s="94">
        <v>6</v>
      </c>
      <c r="P146" s="95" t="s">
        <v>221</v>
      </c>
    </row>
    <row r="147" spans="1:16" ht="15.75" thickBot="1" x14ac:dyDescent="0.3">
      <c r="A147" s="296"/>
      <c r="B147" s="296"/>
      <c r="C147" s="296"/>
      <c r="D147" s="296"/>
      <c r="E147" s="296"/>
      <c r="F147" s="296"/>
      <c r="G147" s="296"/>
      <c r="H147" s="296"/>
      <c r="I147" s="296"/>
      <c r="J147" s="296"/>
      <c r="K147" s="296"/>
      <c r="L147" s="296"/>
      <c r="M147" s="79"/>
      <c r="N147" s="93">
        <v>6</v>
      </c>
      <c r="O147" s="94">
        <v>61</v>
      </c>
      <c r="P147" s="95" t="s">
        <v>222</v>
      </c>
    </row>
    <row r="148" spans="1:16" ht="23.25" thickBot="1" x14ac:dyDescent="0.3">
      <c r="A148" s="296"/>
      <c r="B148" s="296"/>
      <c r="C148" s="296"/>
      <c r="D148" s="296"/>
      <c r="E148" s="296"/>
      <c r="F148" s="296"/>
      <c r="G148" s="296"/>
      <c r="H148" s="296"/>
      <c r="I148" s="296"/>
      <c r="J148" s="296"/>
      <c r="K148" s="296"/>
      <c r="L148" s="296"/>
      <c r="M148" s="79"/>
      <c r="N148" s="93">
        <v>6</v>
      </c>
      <c r="O148" s="94">
        <v>641</v>
      </c>
      <c r="P148" s="95" t="s">
        <v>223</v>
      </c>
    </row>
    <row r="149" spans="1:16" ht="15.75" thickBot="1" x14ac:dyDescent="0.3">
      <c r="A149" s="296"/>
      <c r="B149" s="296"/>
      <c r="C149" s="296"/>
      <c r="D149" s="296"/>
      <c r="E149" s="296"/>
      <c r="F149" s="296"/>
      <c r="G149" s="296"/>
      <c r="H149" s="296"/>
      <c r="I149" s="296"/>
      <c r="J149" s="296"/>
      <c r="K149" s="296"/>
      <c r="L149" s="296"/>
      <c r="M149" s="79"/>
      <c r="N149" s="93">
        <v>6</v>
      </c>
      <c r="O149" s="94">
        <v>662</v>
      </c>
      <c r="P149" s="95" t="s">
        <v>224</v>
      </c>
    </row>
    <row r="150" spans="1:16" ht="15.75" thickBot="1" x14ac:dyDescent="0.3">
      <c r="A150" s="296"/>
      <c r="B150" s="296"/>
      <c r="C150" s="296"/>
      <c r="D150" s="296"/>
      <c r="E150" s="296"/>
      <c r="F150" s="296"/>
      <c r="G150" s="296"/>
      <c r="H150" s="296"/>
      <c r="I150" s="296"/>
      <c r="J150" s="296"/>
      <c r="K150" s="296"/>
      <c r="L150" s="296"/>
      <c r="M150" s="79"/>
      <c r="N150" s="93">
        <v>6</v>
      </c>
      <c r="O150" s="94">
        <v>681</v>
      </c>
      <c r="P150" s="95" t="s">
        <v>225</v>
      </c>
    </row>
    <row r="151" spans="1:16" ht="15.75" thickBot="1" x14ac:dyDescent="0.3">
      <c r="A151" s="296"/>
      <c r="B151" s="296"/>
      <c r="C151" s="296"/>
      <c r="D151" s="296"/>
      <c r="E151" s="296"/>
      <c r="F151" s="296"/>
      <c r="G151" s="296"/>
      <c r="H151" s="296"/>
      <c r="I151" s="296"/>
      <c r="J151" s="296"/>
      <c r="K151" s="296"/>
      <c r="L151" s="296"/>
      <c r="M151" s="79"/>
      <c r="N151" s="100">
        <v>6</v>
      </c>
      <c r="O151" s="101">
        <v>629</v>
      </c>
      <c r="P151" s="102" t="s">
        <v>226</v>
      </c>
    </row>
    <row r="152" spans="1:16" ht="15.75" thickBot="1" x14ac:dyDescent="0.3">
      <c r="A152" s="296"/>
      <c r="B152" s="296"/>
      <c r="C152" s="296"/>
      <c r="D152" s="296"/>
      <c r="E152" s="296"/>
      <c r="F152" s="296"/>
      <c r="G152" s="296"/>
      <c r="H152" s="296"/>
      <c r="I152" s="296"/>
      <c r="J152" s="296"/>
      <c r="K152" s="296"/>
      <c r="L152" s="296"/>
      <c r="M152" s="79"/>
      <c r="N152" s="93">
        <v>6</v>
      </c>
      <c r="O152" s="94">
        <v>633</v>
      </c>
      <c r="P152" s="95" t="s">
        <v>227</v>
      </c>
    </row>
    <row r="153" spans="1:16" ht="15.75" thickBot="1" x14ac:dyDescent="0.3">
      <c r="A153" s="305"/>
      <c r="B153" s="305"/>
      <c r="C153" s="305"/>
      <c r="D153" s="305"/>
      <c r="E153" s="305"/>
      <c r="F153" s="305"/>
      <c r="G153" s="305"/>
      <c r="H153" s="305"/>
      <c r="I153" s="305"/>
      <c r="J153" s="305"/>
      <c r="K153" s="305"/>
      <c r="L153" s="305"/>
      <c r="N153" s="93">
        <v>6</v>
      </c>
      <c r="O153" s="94">
        <v>634</v>
      </c>
      <c r="P153" s="95" t="s">
        <v>228</v>
      </c>
    </row>
    <row r="154" spans="1:16" ht="15.75" thickBot="1" x14ac:dyDescent="0.3">
      <c r="A154" s="305"/>
      <c r="B154" s="305"/>
      <c r="C154" s="305"/>
      <c r="D154" s="305"/>
      <c r="E154" s="305"/>
      <c r="F154" s="305"/>
      <c r="G154" s="305"/>
      <c r="H154" s="305"/>
      <c r="I154" s="305"/>
      <c r="J154" s="305"/>
      <c r="K154" s="305"/>
      <c r="L154" s="305"/>
      <c r="N154" s="93">
        <v>6</v>
      </c>
      <c r="O154" s="94">
        <v>644</v>
      </c>
      <c r="P154" s="95" t="s">
        <v>229</v>
      </c>
    </row>
    <row r="155" spans="1:16" ht="15.75" thickBot="1" x14ac:dyDescent="0.3">
      <c r="A155" s="305"/>
      <c r="B155" s="305"/>
      <c r="C155" s="305"/>
      <c r="D155" s="305"/>
      <c r="E155" s="305"/>
      <c r="F155" s="305"/>
      <c r="G155" s="305"/>
      <c r="H155" s="305"/>
      <c r="I155" s="305"/>
      <c r="J155" s="305"/>
      <c r="K155" s="305"/>
      <c r="L155" s="305"/>
      <c r="N155" s="93">
        <v>6</v>
      </c>
      <c r="O155" s="94">
        <v>662</v>
      </c>
      <c r="P155" s="95" t="s">
        <v>230</v>
      </c>
    </row>
    <row r="156" spans="1:16" ht="15.75" thickBot="1" x14ac:dyDescent="0.3">
      <c r="A156" s="305"/>
      <c r="B156" s="305"/>
      <c r="C156" s="305"/>
      <c r="D156" s="305"/>
      <c r="E156" s="305"/>
      <c r="F156" s="305"/>
      <c r="G156" s="305"/>
      <c r="H156" s="305"/>
      <c r="I156" s="305"/>
      <c r="J156" s="305"/>
      <c r="K156" s="305"/>
      <c r="L156" s="305"/>
      <c r="N156" s="93">
        <v>6</v>
      </c>
      <c r="O156" s="94">
        <v>664</v>
      </c>
      <c r="P156" s="95" t="s">
        <v>231</v>
      </c>
    </row>
    <row r="157" spans="1:16" ht="15.75" thickBot="1" x14ac:dyDescent="0.3">
      <c r="A157" s="305"/>
      <c r="B157" s="305"/>
      <c r="C157" s="305"/>
      <c r="D157" s="305"/>
      <c r="E157" s="305"/>
      <c r="F157" s="305"/>
      <c r="G157" s="305"/>
      <c r="H157" s="305"/>
      <c r="I157" s="305"/>
      <c r="J157" s="305"/>
      <c r="K157" s="305"/>
      <c r="L157" s="305"/>
      <c r="N157" s="100">
        <v>6</v>
      </c>
      <c r="O157" s="101">
        <v>669</v>
      </c>
      <c r="P157" s="102" t="s">
        <v>232</v>
      </c>
    </row>
    <row r="158" spans="1:16" ht="15.75" thickBot="1" x14ac:dyDescent="0.3">
      <c r="A158" s="305"/>
      <c r="B158" s="305"/>
      <c r="C158" s="305"/>
      <c r="D158" s="305"/>
      <c r="E158" s="305"/>
      <c r="F158" s="305"/>
      <c r="G158" s="305"/>
      <c r="H158" s="305"/>
      <c r="I158" s="305"/>
      <c r="J158" s="305"/>
      <c r="K158" s="305"/>
      <c r="L158" s="305"/>
      <c r="N158" s="93">
        <v>6</v>
      </c>
      <c r="O158" s="94">
        <v>644</v>
      </c>
      <c r="P158" s="95" t="s">
        <v>233</v>
      </c>
    </row>
    <row r="159" spans="1:16" ht="15.75" thickBot="1" x14ac:dyDescent="0.3">
      <c r="A159" s="305"/>
      <c r="B159" s="305"/>
      <c r="C159" s="305"/>
      <c r="D159" s="305"/>
      <c r="E159" s="305"/>
      <c r="F159" s="305"/>
      <c r="G159" s="305"/>
      <c r="H159" s="305"/>
      <c r="I159" s="305"/>
      <c r="J159" s="305"/>
      <c r="K159" s="305"/>
      <c r="L159" s="305"/>
      <c r="N159" s="93">
        <v>7</v>
      </c>
      <c r="O159" s="94">
        <v>70</v>
      </c>
      <c r="P159" s="95" t="s">
        <v>234</v>
      </c>
    </row>
    <row r="160" spans="1:16" ht="15.75" thickBot="1" x14ac:dyDescent="0.3">
      <c r="A160" s="305"/>
      <c r="B160" s="305"/>
      <c r="C160" s="305"/>
      <c r="D160" s="305"/>
      <c r="E160" s="305"/>
      <c r="F160" s="305"/>
      <c r="G160" s="305"/>
      <c r="H160" s="305"/>
      <c r="I160" s="305"/>
      <c r="J160" s="305"/>
      <c r="K160" s="305"/>
      <c r="L160" s="305"/>
      <c r="N160" s="93">
        <v>7</v>
      </c>
      <c r="O160" s="94">
        <v>71</v>
      </c>
      <c r="P160" s="95" t="s">
        <v>235</v>
      </c>
    </row>
    <row r="161" spans="1:16" ht="15.75" thickBot="1" x14ac:dyDescent="0.3">
      <c r="A161" s="305"/>
      <c r="B161" s="305"/>
      <c r="C161" s="305"/>
      <c r="D161" s="305"/>
      <c r="E161" s="305"/>
      <c r="F161" s="305"/>
      <c r="G161" s="305"/>
      <c r="H161" s="305"/>
      <c r="I161" s="305"/>
      <c r="J161" s="305"/>
      <c r="K161" s="305"/>
      <c r="L161" s="305"/>
      <c r="N161" s="93">
        <v>7</v>
      </c>
      <c r="O161" s="94">
        <v>72</v>
      </c>
      <c r="P161" s="95" t="s">
        <v>236</v>
      </c>
    </row>
    <row r="162" spans="1:16" ht="15.75" thickBot="1" x14ac:dyDescent="0.3">
      <c r="A162" s="305"/>
      <c r="B162" s="305"/>
      <c r="C162" s="305"/>
      <c r="D162" s="305"/>
      <c r="E162" s="305"/>
      <c r="F162" s="305"/>
      <c r="G162" s="305"/>
      <c r="H162" s="305"/>
      <c r="I162" s="305"/>
      <c r="J162" s="305"/>
      <c r="K162" s="305"/>
      <c r="L162" s="305"/>
      <c r="N162" s="93">
        <v>7</v>
      </c>
      <c r="O162" s="94">
        <v>73</v>
      </c>
      <c r="P162" s="95" t="s">
        <v>237</v>
      </c>
    </row>
    <row r="163" spans="1:16" ht="15.75" thickBot="1" x14ac:dyDescent="0.3">
      <c r="A163" s="305"/>
      <c r="B163" s="305"/>
      <c r="C163" s="305"/>
      <c r="D163" s="305"/>
      <c r="E163" s="305"/>
      <c r="F163" s="305"/>
      <c r="G163" s="305"/>
      <c r="H163" s="305"/>
      <c r="I163" s="305"/>
      <c r="J163" s="305"/>
      <c r="K163" s="305"/>
      <c r="L163" s="305"/>
      <c r="N163" s="96">
        <v>7</v>
      </c>
      <c r="O163" s="97">
        <v>77</v>
      </c>
      <c r="P163" s="98" t="s">
        <v>238</v>
      </c>
    </row>
    <row r="164" spans="1:16" ht="15.75" thickBot="1" x14ac:dyDescent="0.3">
      <c r="A164" s="305"/>
      <c r="B164" s="305"/>
      <c r="C164" s="305"/>
      <c r="D164" s="305"/>
      <c r="E164" s="305"/>
      <c r="F164" s="305"/>
      <c r="G164" s="305"/>
      <c r="H164" s="305"/>
      <c r="I164" s="305"/>
      <c r="J164" s="305"/>
      <c r="K164" s="305"/>
      <c r="L164" s="305"/>
      <c r="N164" s="99">
        <v>7</v>
      </c>
      <c r="O164" s="91">
        <v>76</v>
      </c>
      <c r="P164" s="92" t="s">
        <v>239</v>
      </c>
    </row>
    <row r="165" spans="1:16" ht="15.75" thickBot="1" x14ac:dyDescent="0.3">
      <c r="A165" s="305"/>
      <c r="B165" s="305"/>
      <c r="C165" s="305"/>
      <c r="D165" s="305"/>
      <c r="E165" s="305"/>
      <c r="F165" s="305"/>
      <c r="G165" s="305"/>
      <c r="H165" s="305"/>
      <c r="I165" s="305"/>
      <c r="J165" s="305"/>
      <c r="K165" s="305"/>
      <c r="L165" s="305"/>
      <c r="N165" s="93">
        <v>7</v>
      </c>
      <c r="O165" s="94">
        <v>700</v>
      </c>
      <c r="P165" s="95" t="s">
        <v>240</v>
      </c>
    </row>
    <row r="166" spans="1:16" ht="15.75" thickBot="1" x14ac:dyDescent="0.3">
      <c r="A166" s="305"/>
      <c r="B166" s="305"/>
      <c r="C166" s="305"/>
      <c r="D166" s="305"/>
      <c r="E166" s="305"/>
      <c r="F166" s="305"/>
      <c r="G166" s="305"/>
      <c r="H166" s="305"/>
      <c r="I166" s="305"/>
      <c r="J166" s="305"/>
      <c r="K166" s="305"/>
      <c r="L166" s="305"/>
      <c r="N166" s="93">
        <v>7</v>
      </c>
      <c r="O166" s="94">
        <v>710</v>
      </c>
      <c r="P166" s="95" t="s">
        <v>241</v>
      </c>
    </row>
    <row r="167" spans="1:16" ht="15.75" thickBot="1" x14ac:dyDescent="0.3">
      <c r="A167" s="305"/>
      <c r="B167" s="305"/>
      <c r="C167" s="305"/>
      <c r="D167" s="305"/>
      <c r="E167" s="305"/>
      <c r="F167" s="305"/>
      <c r="G167" s="305"/>
      <c r="H167" s="305"/>
      <c r="I167" s="305"/>
      <c r="J167" s="305"/>
      <c r="K167" s="305"/>
      <c r="L167" s="305"/>
      <c r="N167" s="93">
        <v>7</v>
      </c>
      <c r="O167" s="94">
        <v>710</v>
      </c>
      <c r="P167" s="95" t="s">
        <v>242</v>
      </c>
    </row>
    <row r="168" spans="1:16" ht="15.75" thickBot="1" x14ac:dyDescent="0.3">
      <c r="A168" s="305"/>
      <c r="B168" s="305"/>
      <c r="C168" s="305"/>
      <c r="D168" s="305"/>
      <c r="E168" s="305"/>
      <c r="F168" s="305"/>
      <c r="G168" s="305"/>
      <c r="H168" s="305"/>
      <c r="I168" s="305"/>
      <c r="J168" s="305"/>
      <c r="K168" s="305"/>
      <c r="L168" s="305"/>
      <c r="N168" s="93">
        <v>7</v>
      </c>
      <c r="O168" s="94">
        <v>710</v>
      </c>
      <c r="P168" s="95" t="s">
        <v>243</v>
      </c>
    </row>
    <row r="169" spans="1:16" ht="15.75" thickBot="1" x14ac:dyDescent="0.3">
      <c r="A169" s="305"/>
      <c r="B169" s="305"/>
      <c r="C169" s="305"/>
      <c r="D169" s="305"/>
      <c r="E169" s="305"/>
      <c r="F169" s="305"/>
      <c r="G169" s="305"/>
      <c r="H169" s="305"/>
      <c r="I169" s="305"/>
      <c r="J169" s="305"/>
      <c r="K169" s="305"/>
      <c r="L169" s="305"/>
      <c r="N169" s="93">
        <v>7</v>
      </c>
      <c r="O169" s="94">
        <v>743</v>
      </c>
      <c r="P169" s="95" t="s">
        <v>244</v>
      </c>
    </row>
    <row r="170" spans="1:16" ht="15.75" thickBot="1" x14ac:dyDescent="0.3">
      <c r="A170" s="305"/>
      <c r="B170" s="305"/>
      <c r="C170" s="305"/>
      <c r="D170" s="305"/>
      <c r="E170" s="305"/>
      <c r="F170" s="305"/>
      <c r="G170" s="305"/>
      <c r="H170" s="305"/>
      <c r="I170" s="305"/>
      <c r="J170" s="305"/>
      <c r="K170" s="305"/>
      <c r="L170" s="305"/>
      <c r="N170" s="93">
        <v>7</v>
      </c>
      <c r="O170" s="94">
        <v>745</v>
      </c>
      <c r="P170" s="95" t="s">
        <v>245</v>
      </c>
    </row>
    <row r="171" spans="1:16" ht="15.75" thickBot="1" x14ac:dyDescent="0.3">
      <c r="A171" s="305"/>
      <c r="B171" s="305"/>
      <c r="C171" s="305"/>
      <c r="D171" s="305"/>
      <c r="E171" s="305"/>
      <c r="F171" s="305"/>
      <c r="G171" s="305"/>
      <c r="H171" s="305"/>
      <c r="I171" s="305"/>
      <c r="J171" s="305"/>
      <c r="K171" s="305"/>
      <c r="L171" s="305"/>
      <c r="N171" s="93">
        <v>7</v>
      </c>
      <c r="O171" s="94">
        <v>746</v>
      </c>
      <c r="P171" s="95" t="s">
        <v>246</v>
      </c>
    </row>
    <row r="172" spans="1:16" ht="15.75" thickBot="1" x14ac:dyDescent="0.3">
      <c r="A172" s="305"/>
      <c r="B172" s="305"/>
      <c r="C172" s="305"/>
      <c r="D172" s="305"/>
      <c r="E172" s="305"/>
      <c r="F172" s="305"/>
      <c r="G172" s="305"/>
      <c r="H172" s="305"/>
      <c r="I172" s="305"/>
      <c r="J172" s="305"/>
      <c r="K172" s="305"/>
      <c r="L172" s="305"/>
      <c r="N172" s="93">
        <v>7</v>
      </c>
      <c r="O172" s="94">
        <v>747</v>
      </c>
      <c r="P172" s="95" t="s">
        <v>247</v>
      </c>
    </row>
    <row r="173" spans="1:16" ht="15.75" thickBot="1" x14ac:dyDescent="0.3">
      <c r="A173" s="305"/>
      <c r="B173" s="305"/>
      <c r="C173" s="305"/>
      <c r="D173" s="305"/>
      <c r="E173" s="305"/>
      <c r="F173" s="305"/>
      <c r="G173" s="305"/>
      <c r="H173" s="305"/>
      <c r="I173" s="305"/>
      <c r="J173" s="305"/>
      <c r="K173" s="305"/>
      <c r="L173" s="305"/>
      <c r="N173" s="93">
        <v>7</v>
      </c>
      <c r="O173" s="94">
        <v>748</v>
      </c>
      <c r="P173" s="95" t="s">
        <v>248</v>
      </c>
    </row>
    <row r="174" spans="1:16" ht="15.75" thickBot="1" x14ac:dyDescent="0.3">
      <c r="A174" s="305"/>
      <c r="B174" s="305"/>
      <c r="C174" s="305"/>
      <c r="D174" s="305"/>
      <c r="E174" s="305"/>
      <c r="F174" s="305"/>
      <c r="G174" s="305"/>
      <c r="H174" s="305"/>
      <c r="I174" s="305"/>
      <c r="J174" s="305"/>
      <c r="K174" s="305"/>
      <c r="L174" s="305"/>
      <c r="N174" s="93">
        <v>7</v>
      </c>
      <c r="O174" s="94">
        <v>770</v>
      </c>
      <c r="P174" s="95" t="s">
        <v>249</v>
      </c>
    </row>
    <row r="175" spans="1:16" ht="15.75" thickBot="1" x14ac:dyDescent="0.3">
      <c r="A175" s="305"/>
      <c r="B175" s="305"/>
      <c r="C175" s="305"/>
      <c r="D175" s="305"/>
      <c r="E175" s="305"/>
      <c r="F175" s="305"/>
      <c r="G175" s="305"/>
      <c r="H175" s="305"/>
      <c r="I175" s="305"/>
      <c r="J175" s="305"/>
      <c r="K175" s="305"/>
      <c r="L175" s="305"/>
      <c r="N175" s="93">
        <v>7</v>
      </c>
      <c r="O175" s="94">
        <v>773</v>
      </c>
      <c r="P175" s="95" t="s">
        <v>250</v>
      </c>
    </row>
    <row r="176" spans="1:16" ht="15.75" thickBot="1" x14ac:dyDescent="0.3">
      <c r="A176" s="305"/>
      <c r="B176" s="305"/>
      <c r="C176" s="305"/>
      <c r="D176" s="305"/>
      <c r="E176" s="305"/>
      <c r="F176" s="305"/>
      <c r="G176" s="305"/>
      <c r="H176" s="305"/>
      <c r="I176" s="305"/>
      <c r="J176" s="305"/>
      <c r="K176" s="305"/>
      <c r="L176" s="305"/>
      <c r="N176" s="93">
        <v>7</v>
      </c>
      <c r="O176" s="94">
        <v>780</v>
      </c>
      <c r="P176" s="95" t="s">
        <v>251</v>
      </c>
    </row>
    <row r="177" spans="1:16" ht="15.75" thickBot="1" x14ac:dyDescent="0.3">
      <c r="A177" s="305"/>
      <c r="B177" s="305"/>
      <c r="C177" s="305"/>
      <c r="D177" s="305"/>
      <c r="E177" s="305"/>
      <c r="F177" s="305"/>
      <c r="G177" s="305"/>
      <c r="H177" s="305"/>
      <c r="I177" s="305"/>
      <c r="J177" s="305"/>
      <c r="K177" s="305"/>
      <c r="L177" s="305"/>
      <c r="N177" s="93">
        <v>7</v>
      </c>
      <c r="O177" s="94">
        <v>781</v>
      </c>
      <c r="P177" s="95" t="s">
        <v>252</v>
      </c>
    </row>
    <row r="178" spans="1:16" ht="15.75" thickBot="1" x14ac:dyDescent="0.3">
      <c r="A178" s="305"/>
      <c r="B178" s="305"/>
      <c r="C178" s="305"/>
      <c r="D178" s="305"/>
      <c r="E178" s="305"/>
      <c r="F178" s="305"/>
      <c r="G178" s="305"/>
      <c r="H178" s="305"/>
      <c r="I178" s="305"/>
      <c r="J178" s="305"/>
      <c r="K178" s="305"/>
      <c r="L178" s="305"/>
      <c r="N178" s="93">
        <v>7</v>
      </c>
      <c r="O178" s="94">
        <v>79</v>
      </c>
      <c r="P178" s="95" t="s">
        <v>253</v>
      </c>
    </row>
    <row r="179" spans="1:16" ht="15.75" thickBot="1" x14ac:dyDescent="0.3">
      <c r="A179" s="305"/>
      <c r="B179" s="305"/>
      <c r="C179" s="305"/>
      <c r="D179" s="305"/>
      <c r="E179" s="305"/>
      <c r="F179" s="305"/>
      <c r="G179" s="305"/>
      <c r="H179" s="305"/>
      <c r="I179" s="305"/>
      <c r="J179" s="305"/>
      <c r="K179" s="305"/>
      <c r="L179" s="305"/>
      <c r="N179" s="93">
        <v>7</v>
      </c>
      <c r="O179" s="94">
        <v>745</v>
      </c>
      <c r="P179" s="95" t="s">
        <v>254</v>
      </c>
    </row>
    <row r="180" spans="1:16" ht="15.75" thickBot="1" x14ac:dyDescent="0.3">
      <c r="A180" s="305"/>
      <c r="B180" s="305"/>
      <c r="C180" s="305"/>
      <c r="D180" s="305"/>
      <c r="E180" s="305"/>
      <c r="F180" s="305"/>
      <c r="G180" s="305"/>
      <c r="H180" s="305"/>
      <c r="I180" s="305"/>
      <c r="J180" s="305"/>
      <c r="K180" s="305"/>
      <c r="L180" s="305"/>
      <c r="N180" s="93">
        <v>7</v>
      </c>
      <c r="O180" s="94">
        <v>783</v>
      </c>
      <c r="P180" s="95" t="s">
        <v>255</v>
      </c>
    </row>
    <row r="181" spans="1:16" ht="15.75" thickBot="1" x14ac:dyDescent="0.3">
      <c r="A181" s="305"/>
      <c r="B181" s="305"/>
      <c r="C181" s="305"/>
      <c r="D181" s="305"/>
      <c r="E181" s="305"/>
      <c r="F181" s="305"/>
      <c r="G181" s="305"/>
      <c r="H181" s="305"/>
      <c r="I181" s="305"/>
      <c r="J181" s="305"/>
      <c r="K181" s="305"/>
      <c r="L181" s="305"/>
      <c r="N181" s="93">
        <v>7</v>
      </c>
      <c r="O181" s="94">
        <v>788</v>
      </c>
      <c r="P181" s="95" t="s">
        <v>256</v>
      </c>
    </row>
    <row r="182" spans="1:16" ht="15.75" thickBot="1" x14ac:dyDescent="0.3">
      <c r="A182" s="305"/>
      <c r="B182" s="305"/>
      <c r="C182" s="305"/>
      <c r="D182" s="305"/>
      <c r="E182" s="305"/>
      <c r="F182" s="305"/>
      <c r="G182" s="305"/>
      <c r="H182" s="305"/>
      <c r="I182" s="305"/>
      <c r="J182" s="305"/>
      <c r="K182" s="305"/>
      <c r="L182" s="305"/>
      <c r="N182" s="93">
        <v>7</v>
      </c>
      <c r="O182" s="94">
        <v>740</v>
      </c>
      <c r="P182" s="95" t="s">
        <v>257</v>
      </c>
    </row>
    <row r="183" spans="1:16" ht="15.75" thickBot="1" x14ac:dyDescent="0.3">
      <c r="A183" s="305"/>
      <c r="B183" s="305"/>
      <c r="C183" s="305"/>
      <c r="D183" s="305"/>
      <c r="E183" s="305"/>
      <c r="F183" s="305"/>
      <c r="G183" s="305"/>
      <c r="H183" s="305"/>
      <c r="I183" s="305"/>
      <c r="J183" s="305"/>
      <c r="K183" s="305"/>
      <c r="L183" s="305"/>
      <c r="N183" s="100">
        <v>7</v>
      </c>
      <c r="O183" s="101">
        <v>741</v>
      </c>
      <c r="P183" s="102" t="s">
        <v>258</v>
      </c>
    </row>
    <row r="184" spans="1:16" ht="15.75" thickBot="1" x14ac:dyDescent="0.3">
      <c r="A184" s="305"/>
      <c r="B184" s="305"/>
      <c r="C184" s="305"/>
      <c r="D184" s="305"/>
      <c r="E184" s="305"/>
      <c r="F184" s="305"/>
      <c r="G184" s="305"/>
      <c r="H184" s="305"/>
      <c r="I184" s="305"/>
      <c r="J184" s="305"/>
      <c r="K184" s="305"/>
      <c r="L184" s="305"/>
      <c r="N184" s="100">
        <v>7</v>
      </c>
      <c r="O184" s="101">
        <v>742</v>
      </c>
      <c r="P184" s="102" t="s">
        <v>259</v>
      </c>
    </row>
    <row r="185" spans="1:16" ht="15.75" thickBot="1" x14ac:dyDescent="0.3">
      <c r="A185" s="305"/>
      <c r="B185" s="305"/>
      <c r="C185" s="305"/>
      <c r="D185" s="305"/>
      <c r="E185" s="305"/>
      <c r="F185" s="305"/>
      <c r="G185" s="305"/>
      <c r="H185" s="305"/>
      <c r="I185" s="305"/>
      <c r="J185" s="305"/>
      <c r="K185" s="305"/>
      <c r="L185" s="305"/>
      <c r="N185" s="93">
        <v>7</v>
      </c>
      <c r="O185" s="94">
        <v>744</v>
      </c>
      <c r="P185" s="95" t="s">
        <v>260</v>
      </c>
    </row>
    <row r="186" spans="1:16" ht="15.75" thickBot="1" x14ac:dyDescent="0.3">
      <c r="A186" s="305"/>
      <c r="B186" s="305"/>
      <c r="C186" s="305"/>
      <c r="D186" s="305"/>
      <c r="E186" s="305"/>
      <c r="F186" s="305"/>
      <c r="G186" s="305"/>
      <c r="H186" s="305"/>
      <c r="I186" s="305"/>
      <c r="J186" s="305"/>
      <c r="K186" s="305"/>
      <c r="L186" s="305"/>
      <c r="N186" s="93">
        <v>7</v>
      </c>
      <c r="O186" s="94">
        <v>782</v>
      </c>
      <c r="P186" s="95" t="s">
        <v>261</v>
      </c>
    </row>
    <row r="187" spans="1:16" ht="15.75" thickBot="1" x14ac:dyDescent="0.3">
      <c r="A187" s="305"/>
      <c r="B187" s="305"/>
      <c r="C187" s="305"/>
      <c r="D187" s="305"/>
      <c r="E187" s="305"/>
      <c r="F187" s="305"/>
      <c r="G187" s="305"/>
      <c r="H187" s="305"/>
      <c r="I187" s="305"/>
      <c r="J187" s="305"/>
      <c r="K187" s="305"/>
      <c r="L187" s="305"/>
      <c r="N187" s="93">
        <v>8</v>
      </c>
      <c r="O187" s="94">
        <v>805</v>
      </c>
      <c r="P187" s="95" t="s">
        <v>262</v>
      </c>
    </row>
    <row r="188" spans="1:16" ht="15.75" thickBot="1" x14ac:dyDescent="0.3">
      <c r="N188" s="100">
        <v>8</v>
      </c>
      <c r="O188" s="101">
        <v>806</v>
      </c>
      <c r="P188" s="102" t="s">
        <v>263</v>
      </c>
    </row>
    <row r="189" spans="1:16" ht="15.75" thickBot="1" x14ac:dyDescent="0.3">
      <c r="N189" s="93">
        <v>8</v>
      </c>
      <c r="O189" s="94">
        <v>803</v>
      </c>
      <c r="P189" s="95" t="s">
        <v>264</v>
      </c>
    </row>
    <row r="190" spans="1:16" ht="15.75" thickBot="1" x14ac:dyDescent="0.3">
      <c r="N190" s="93">
        <v>8</v>
      </c>
      <c r="O190" s="94">
        <v>803</v>
      </c>
      <c r="P190" s="95" t="s">
        <v>265</v>
      </c>
    </row>
    <row r="191" spans="1:16" ht="15.75" thickBot="1" x14ac:dyDescent="0.3">
      <c r="N191" s="100">
        <v>8</v>
      </c>
      <c r="O191" s="101">
        <v>8</v>
      </c>
      <c r="P191" s="102" t="s">
        <v>266</v>
      </c>
    </row>
    <row r="192" spans="1:16" ht="15.75" thickBot="1" x14ac:dyDescent="0.3">
      <c r="N192" s="93">
        <v>8</v>
      </c>
      <c r="O192" s="94">
        <v>801</v>
      </c>
      <c r="P192" s="95" t="s">
        <v>267</v>
      </c>
    </row>
    <row r="193" spans="14:16" ht="15.75" thickBot="1" x14ac:dyDescent="0.3">
      <c r="N193" s="96">
        <v>8</v>
      </c>
      <c r="O193" s="97">
        <v>802</v>
      </c>
      <c r="P193" s="98" t="s">
        <v>268</v>
      </c>
    </row>
  </sheetData>
  <sheetProtection sheet="1" objects="1" scenarios="1"/>
  <mergeCells count="4">
    <mergeCell ref="AE1:AM1"/>
    <mergeCell ref="D30:L30"/>
    <mergeCell ref="A31:B31"/>
    <mergeCell ref="I1:L2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5"/>
  <sheetViews>
    <sheetView showGridLines="0" zoomScale="80" zoomScaleNormal="80" zoomScaleSheetLayoutView="112" workbookViewId="0">
      <selection activeCell="B26" sqref="B26"/>
    </sheetView>
  </sheetViews>
  <sheetFormatPr defaultColWidth="9.140625" defaultRowHeight="15" outlineLevelRow="1" x14ac:dyDescent="0.25"/>
  <cols>
    <col min="1" max="1" width="40.42578125" style="54" customWidth="1"/>
    <col min="2" max="5" width="10.5703125" style="54" customWidth="1"/>
    <col min="6" max="11" width="10.5703125" style="54" hidden="1" customWidth="1"/>
    <col min="12" max="12" width="1.85546875" style="54" customWidth="1"/>
    <col min="13" max="13" width="10.85546875" style="54" customWidth="1"/>
    <col min="14" max="16384" width="9.140625" style="54"/>
  </cols>
  <sheetData>
    <row r="1" spans="1:23" ht="43.5" customHeight="1" x14ac:dyDescent="0.3">
      <c r="A1" s="539" t="s">
        <v>399</v>
      </c>
      <c r="B1" s="539"/>
      <c r="C1" s="539"/>
      <c r="D1" s="539"/>
      <c r="E1" s="539"/>
      <c r="F1" s="809" t="s">
        <v>407</v>
      </c>
      <c r="G1" s="809"/>
      <c r="H1" s="809"/>
      <c r="I1" s="809"/>
      <c r="J1" s="809"/>
      <c r="K1" s="809"/>
    </row>
    <row r="2" spans="1:23" s="79" customFormat="1" ht="30" customHeight="1" x14ac:dyDescent="0.25">
      <c r="A2" s="323" t="s">
        <v>311</v>
      </c>
      <c r="B2" s="324">
        <f>KPIR!T6</f>
        <v>2024</v>
      </c>
      <c r="C2" s="324">
        <f>B2+1</f>
        <v>2025</v>
      </c>
      <c r="D2" s="324">
        <f t="shared" ref="D2:E2" si="0">C2+1</f>
        <v>2026</v>
      </c>
      <c r="E2" s="324">
        <f t="shared" si="0"/>
        <v>2027</v>
      </c>
      <c r="F2" s="324" t="s">
        <v>14</v>
      </c>
      <c r="G2" s="324" t="s">
        <v>15</v>
      </c>
      <c r="H2" s="324" t="s">
        <v>82</v>
      </c>
      <c r="I2" s="324" t="s">
        <v>83</v>
      </c>
      <c r="J2" s="324" t="s">
        <v>84</v>
      </c>
      <c r="K2" s="324" t="s">
        <v>85</v>
      </c>
      <c r="L2" s="325"/>
      <c r="M2" s="325"/>
      <c r="N2" s="326"/>
    </row>
    <row r="3" spans="1:23" ht="30" customHeight="1" x14ac:dyDescent="0.25">
      <c r="A3" s="327" t="s">
        <v>488</v>
      </c>
      <c r="B3" s="328">
        <f>B4</f>
        <v>0</v>
      </c>
      <c r="C3" s="432">
        <f>C4+C5</f>
        <v>0</v>
      </c>
      <c r="D3" s="432">
        <f t="shared" ref="D3:K3" si="1">D4+D5</f>
        <v>0</v>
      </c>
      <c r="E3" s="432">
        <f t="shared" si="1"/>
        <v>0</v>
      </c>
      <c r="F3" s="432">
        <f t="shared" si="1"/>
        <v>0</v>
      </c>
      <c r="G3" s="432">
        <f t="shared" si="1"/>
        <v>0</v>
      </c>
      <c r="H3" s="432">
        <f t="shared" si="1"/>
        <v>0</v>
      </c>
      <c r="I3" s="432">
        <f t="shared" si="1"/>
        <v>0</v>
      </c>
      <c r="J3" s="432">
        <f t="shared" si="1"/>
        <v>0</v>
      </c>
      <c r="K3" s="432">
        <f t="shared" si="1"/>
        <v>0</v>
      </c>
      <c r="L3" s="326"/>
      <c r="M3" s="691" t="s">
        <v>506</v>
      </c>
    </row>
    <row r="4" spans="1:23" ht="30" customHeight="1" x14ac:dyDescent="0.25">
      <c r="A4" s="712" t="s">
        <v>374</v>
      </c>
      <c r="B4" s="713">
        <f>KPIR!D9</f>
        <v>0</v>
      </c>
      <c r="C4" s="632">
        <f>'załącznik nr 1 dla KPiR'!C16</f>
        <v>0</v>
      </c>
      <c r="D4" s="632">
        <f>'załącznik nr 1 dla KPiR'!D16</f>
        <v>0</v>
      </c>
      <c r="E4" s="632">
        <f>'załącznik nr 1 dla KPiR'!E16</f>
        <v>0</v>
      </c>
      <c r="F4" s="601">
        <f>'załącznik nr 1 dla KPiR'!F16</f>
        <v>0</v>
      </c>
      <c r="G4" s="601">
        <f>'załącznik nr 1 dla KPiR'!G16</f>
        <v>0</v>
      </c>
      <c r="H4" s="601">
        <f>'załącznik nr 1 dla KPiR'!H16</f>
        <v>0</v>
      </c>
      <c r="I4" s="601">
        <f>'załącznik nr 1 dla KPiR'!I16</f>
        <v>0</v>
      </c>
      <c r="J4" s="601">
        <f>'załącznik nr 1 dla KPiR'!J16</f>
        <v>0</v>
      </c>
      <c r="K4" s="601">
        <f>'załącznik nr 1 dla KPiR'!K16</f>
        <v>0</v>
      </c>
      <c r="M4" s="692" t="s">
        <v>509</v>
      </c>
      <c r="U4" s="635"/>
    </row>
    <row r="5" spans="1:23" ht="30" customHeight="1" x14ac:dyDescent="0.25">
      <c r="A5" s="712" t="s">
        <v>314</v>
      </c>
      <c r="B5" s="814"/>
      <c r="C5" s="632">
        <f>'załącznik nr 1 dla KPiR'!C17</f>
        <v>0</v>
      </c>
      <c r="D5" s="632">
        <f>'załącznik nr 1 dla KPiR'!D17</f>
        <v>0</v>
      </c>
      <c r="E5" s="632">
        <f>'załącznik nr 1 dla KPiR'!E17</f>
        <v>0</v>
      </c>
      <c r="F5" s="413"/>
      <c r="G5" s="413"/>
      <c r="H5" s="413"/>
      <c r="I5" s="413"/>
      <c r="J5" s="413"/>
      <c r="K5" s="413"/>
      <c r="M5" s="352" t="s">
        <v>397</v>
      </c>
      <c r="N5" s="329"/>
    </row>
    <row r="6" spans="1:23" ht="18.75" hidden="1" x14ac:dyDescent="0.3">
      <c r="A6" s="441" t="s">
        <v>318</v>
      </c>
      <c r="B6" s="815"/>
      <c r="C6" s="414"/>
      <c r="D6" s="414"/>
      <c r="E6" s="414"/>
      <c r="F6" s="414"/>
      <c r="G6" s="414"/>
      <c r="H6" s="414"/>
      <c r="I6" s="414"/>
      <c r="J6" s="414"/>
      <c r="K6" s="414"/>
      <c r="M6" s="352" t="s">
        <v>378</v>
      </c>
      <c r="N6" s="329"/>
    </row>
    <row r="7" spans="1:23" hidden="1" x14ac:dyDescent="0.25">
      <c r="A7" s="441" t="s">
        <v>319</v>
      </c>
      <c r="B7" s="816"/>
      <c r="C7" s="415"/>
      <c r="D7" s="415"/>
      <c r="E7" s="415"/>
      <c r="F7" s="415"/>
      <c r="G7" s="415"/>
      <c r="H7" s="415"/>
      <c r="I7" s="415"/>
      <c r="J7" s="415"/>
      <c r="K7" s="415"/>
      <c r="M7" s="352" t="s">
        <v>377</v>
      </c>
      <c r="N7" s="329"/>
    </row>
    <row r="8" spans="1:23" ht="30" hidden="1" customHeight="1" x14ac:dyDescent="0.25">
      <c r="A8" s="430" t="s">
        <v>1</v>
      </c>
      <c r="B8" s="431">
        <f>B9</f>
        <v>0</v>
      </c>
      <c r="C8" s="434">
        <f t="shared" ref="C8:K8" si="2">C9+C12</f>
        <v>0</v>
      </c>
      <c r="D8" s="434">
        <f t="shared" si="2"/>
        <v>0</v>
      </c>
      <c r="E8" s="434">
        <f t="shared" si="2"/>
        <v>0</v>
      </c>
      <c r="F8" s="434">
        <f t="shared" si="2"/>
        <v>0</v>
      </c>
      <c r="G8" s="434">
        <f t="shared" si="2"/>
        <v>0</v>
      </c>
      <c r="H8" s="434">
        <f t="shared" si="2"/>
        <v>0</v>
      </c>
      <c r="I8" s="434">
        <f t="shared" si="2"/>
        <v>0</v>
      </c>
      <c r="J8" s="434">
        <f t="shared" si="2"/>
        <v>0</v>
      </c>
      <c r="K8" s="434">
        <f t="shared" si="2"/>
        <v>0</v>
      </c>
      <c r="M8" s="352"/>
      <c r="N8" s="329"/>
      <c r="U8" s="54" t="s">
        <v>433</v>
      </c>
    </row>
    <row r="9" spans="1:23" ht="30" hidden="1" customHeight="1" x14ac:dyDescent="0.25">
      <c r="A9" s="330" t="s">
        <v>373</v>
      </c>
      <c r="B9" s="485">
        <f>KPIR!D12</f>
        <v>0</v>
      </c>
      <c r="C9" s="632"/>
      <c r="D9" s="632"/>
      <c r="E9" s="632"/>
      <c r="F9" s="566">
        <f t="shared" ref="F9:H9" si="3">E9</f>
        <v>0</v>
      </c>
      <c r="G9" s="566">
        <f t="shared" si="3"/>
        <v>0</v>
      </c>
      <c r="H9" s="566">
        <f t="shared" si="3"/>
        <v>0</v>
      </c>
      <c r="I9" s="413"/>
      <c r="J9" s="413"/>
      <c r="K9" s="413"/>
      <c r="M9" s="352" t="s">
        <v>339</v>
      </c>
      <c r="N9" s="329"/>
      <c r="U9" s="600"/>
      <c r="W9" s="259"/>
    </row>
    <row r="10" spans="1:23" hidden="1" x14ac:dyDescent="0.25">
      <c r="A10" s="331" t="s">
        <v>313</v>
      </c>
      <c r="B10" s="435"/>
      <c r="C10" s="636"/>
      <c r="D10" s="636"/>
      <c r="E10" s="636"/>
      <c r="F10" s="433"/>
      <c r="G10" s="433"/>
      <c r="H10" s="433"/>
      <c r="I10" s="433"/>
      <c r="J10" s="433"/>
      <c r="K10" s="433"/>
      <c r="M10" s="394" t="s">
        <v>368</v>
      </c>
      <c r="N10" s="329"/>
    </row>
    <row r="11" spans="1:23" hidden="1" x14ac:dyDescent="0.25">
      <c r="A11" s="331" t="s">
        <v>2</v>
      </c>
      <c r="B11" s="436"/>
      <c r="C11" s="636"/>
      <c r="D11" s="636"/>
      <c r="E11" s="636"/>
      <c r="F11" s="433"/>
      <c r="G11" s="433"/>
      <c r="H11" s="433"/>
      <c r="I11" s="433"/>
      <c r="J11" s="433"/>
      <c r="K11" s="433"/>
      <c r="M11" s="394"/>
      <c r="N11" s="329"/>
    </row>
    <row r="12" spans="1:23" ht="30" hidden="1" customHeight="1" x14ac:dyDescent="0.25">
      <c r="A12" s="330" t="s">
        <v>315</v>
      </c>
      <c r="B12" s="814"/>
      <c r="C12" s="637"/>
      <c r="D12" s="637"/>
      <c r="E12" s="637"/>
      <c r="F12" s="413"/>
      <c r="G12" s="413"/>
      <c r="H12" s="413"/>
      <c r="I12" s="413"/>
      <c r="J12" s="413"/>
      <c r="K12" s="413"/>
      <c r="M12" s="352" t="s">
        <v>397</v>
      </c>
      <c r="N12" s="329"/>
    </row>
    <row r="13" spans="1:23" hidden="1" x14ac:dyDescent="0.25">
      <c r="A13" s="441" t="s">
        <v>313</v>
      </c>
      <c r="B13" s="815"/>
      <c r="C13" s="416"/>
      <c r="D13" s="416"/>
      <c r="E13" s="416"/>
      <c r="F13" s="416"/>
      <c r="G13" s="416"/>
      <c r="H13" s="416"/>
      <c r="I13" s="416"/>
      <c r="J13" s="416"/>
      <c r="K13" s="416"/>
      <c r="M13" s="394" t="s">
        <v>379</v>
      </c>
      <c r="N13" s="329"/>
    </row>
    <row r="14" spans="1:23" hidden="1" x14ac:dyDescent="0.25">
      <c r="A14" s="441" t="s">
        <v>372</v>
      </c>
      <c r="B14" s="816"/>
      <c r="C14" s="414"/>
      <c r="D14" s="414"/>
      <c r="E14" s="414"/>
      <c r="F14" s="414"/>
      <c r="G14" s="414"/>
      <c r="H14" s="414"/>
      <c r="I14" s="414"/>
      <c r="J14" s="414"/>
      <c r="K14" s="414"/>
      <c r="M14" s="352" t="s">
        <v>380</v>
      </c>
      <c r="N14" s="329"/>
    </row>
    <row r="15" spans="1:23" ht="30" customHeight="1" x14ac:dyDescent="0.25">
      <c r="A15" s="443" t="s">
        <v>3</v>
      </c>
      <c r="B15" s="444">
        <f>KPIR!D14</f>
        <v>0</v>
      </c>
      <c r="C15" s="444">
        <f t="shared" ref="C15:K15" si="4">C16+C17</f>
        <v>0</v>
      </c>
      <c r="D15" s="444">
        <f t="shared" si="4"/>
        <v>0</v>
      </c>
      <c r="E15" s="444">
        <f t="shared" si="4"/>
        <v>0</v>
      </c>
      <c r="F15" s="444">
        <f t="shared" si="4"/>
        <v>0</v>
      </c>
      <c r="G15" s="444">
        <f t="shared" si="4"/>
        <v>0</v>
      </c>
      <c r="H15" s="444">
        <f t="shared" si="4"/>
        <v>0</v>
      </c>
      <c r="I15" s="444">
        <f t="shared" si="4"/>
        <v>0</v>
      </c>
      <c r="J15" s="444">
        <f t="shared" si="4"/>
        <v>0</v>
      </c>
      <c r="K15" s="444">
        <f t="shared" si="4"/>
        <v>0</v>
      </c>
      <c r="M15" s="394"/>
      <c r="N15" s="329"/>
    </row>
    <row r="16" spans="1:23" ht="30" customHeight="1" x14ac:dyDescent="0.25">
      <c r="A16" s="714" t="s">
        <v>398</v>
      </c>
      <c r="B16" s="715">
        <f>KPIR!D14</f>
        <v>0</v>
      </c>
      <c r="C16" s="632">
        <f>IF(wskaźniki!$C$30=1,(1-U16)*KPIR!D14,(1-U16)*KPIR!S14)</f>
        <v>0</v>
      </c>
      <c r="D16" s="632">
        <f>C16</f>
        <v>0</v>
      </c>
      <c r="E16" s="632">
        <f>D16</f>
        <v>0</v>
      </c>
      <c r="F16" s="567">
        <f t="shared" ref="F16:H16" si="5">E16</f>
        <v>0</v>
      </c>
      <c r="G16" s="567">
        <f t="shared" si="5"/>
        <v>0</v>
      </c>
      <c r="H16" s="567">
        <f t="shared" si="5"/>
        <v>0</v>
      </c>
      <c r="I16" s="486"/>
      <c r="J16" s="486"/>
      <c r="K16" s="486"/>
      <c r="M16" s="352" t="s">
        <v>375</v>
      </c>
      <c r="N16" s="329"/>
      <c r="U16" s="635"/>
    </row>
    <row r="17" spans="1:23" ht="30" customHeight="1" x14ac:dyDescent="0.25">
      <c r="A17" s="714" t="s">
        <v>376</v>
      </c>
      <c r="B17" s="442"/>
      <c r="C17" s="724">
        <f>'załącznik nr 1 dla KPiR'!C23</f>
        <v>0</v>
      </c>
      <c r="D17" s="724">
        <f>'załącznik nr 1 dla KPiR'!D23</f>
        <v>0</v>
      </c>
      <c r="E17" s="724">
        <f>'załącznik nr 1 dla KPiR'!E23</f>
        <v>0</v>
      </c>
      <c r="F17" s="487"/>
      <c r="G17" s="487"/>
      <c r="H17" s="487"/>
      <c r="I17" s="487"/>
      <c r="J17" s="487"/>
      <c r="K17" s="487"/>
      <c r="M17" s="352" t="s">
        <v>381</v>
      </c>
      <c r="N17" s="329"/>
    </row>
    <row r="18" spans="1:23" hidden="1" x14ac:dyDescent="0.25">
      <c r="A18" s="339" t="s">
        <v>316</v>
      </c>
      <c r="B18" s="332"/>
      <c r="C18" s="438">
        <v>1</v>
      </c>
      <c r="D18" s="438">
        <v>1</v>
      </c>
      <c r="E18" s="438">
        <v>1</v>
      </c>
      <c r="F18" s="438">
        <v>1</v>
      </c>
      <c r="G18" s="438">
        <v>1</v>
      </c>
      <c r="H18" s="438">
        <v>1</v>
      </c>
      <c r="I18" s="438">
        <v>1</v>
      </c>
      <c r="J18" s="438">
        <v>1</v>
      </c>
      <c r="K18" s="438">
        <v>1</v>
      </c>
      <c r="M18" s="394" t="s">
        <v>367</v>
      </c>
      <c r="N18" s="329"/>
    </row>
    <row r="19" spans="1:23" hidden="1" x14ac:dyDescent="0.25">
      <c r="A19" s="339" t="s">
        <v>317</v>
      </c>
      <c r="B19" s="333"/>
      <c r="C19" s="437">
        <v>1300000</v>
      </c>
      <c r="D19" s="437">
        <v>1300000</v>
      </c>
      <c r="E19" s="437">
        <v>1300000</v>
      </c>
      <c r="F19" s="437">
        <v>1300000</v>
      </c>
      <c r="G19" s="437">
        <v>1300000</v>
      </c>
      <c r="H19" s="437">
        <v>1300000</v>
      </c>
      <c r="I19" s="437">
        <v>1300000</v>
      </c>
      <c r="J19" s="437">
        <v>1300000</v>
      </c>
      <c r="K19" s="437">
        <v>1300000</v>
      </c>
      <c r="M19" s="394" t="s">
        <v>366</v>
      </c>
      <c r="N19" s="329"/>
    </row>
    <row r="20" spans="1:23" ht="7.5" hidden="1" customHeight="1" x14ac:dyDescent="0.25">
      <c r="A20" s="334"/>
      <c r="B20" s="335"/>
      <c r="C20" s="334"/>
      <c r="D20" s="334"/>
      <c r="E20" s="334"/>
      <c r="F20" s="334"/>
      <c r="G20" s="334"/>
      <c r="H20" s="334"/>
      <c r="I20" s="334"/>
      <c r="J20" s="334"/>
      <c r="K20" s="334"/>
      <c r="M20" s="395"/>
      <c r="N20" s="329"/>
    </row>
    <row r="21" spans="1:23" ht="30.75" hidden="1" customHeight="1" x14ac:dyDescent="0.25">
      <c r="A21" s="355" t="s">
        <v>349</v>
      </c>
      <c r="B21" s="356"/>
      <c r="C21" s="357"/>
      <c r="D21" s="336"/>
      <c r="E21" s="336"/>
      <c r="F21" s="336"/>
      <c r="G21" s="336"/>
      <c r="H21" s="336"/>
      <c r="I21" s="336"/>
      <c r="J21" s="336"/>
      <c r="K21" s="336"/>
      <c r="M21" s="395"/>
      <c r="N21" s="329"/>
    </row>
    <row r="22" spans="1:23" hidden="1" x14ac:dyDescent="0.25">
      <c r="A22" s="812" t="s">
        <v>312</v>
      </c>
      <c r="B22" s="813"/>
      <c r="C22" s="439"/>
      <c r="D22" s="440" t="s">
        <v>361</v>
      </c>
      <c r="E22" s="338"/>
      <c r="F22" s="338"/>
      <c r="G22" s="338"/>
      <c r="H22" s="338"/>
      <c r="I22" s="338"/>
      <c r="J22" s="338"/>
      <c r="K22" s="338"/>
      <c r="M22" s="354"/>
      <c r="N22" s="329"/>
    </row>
    <row r="23" spans="1:23" ht="6" hidden="1" customHeight="1" x14ac:dyDescent="0.25">
      <c r="A23" s="326"/>
      <c r="B23" s="336"/>
      <c r="C23" s="338"/>
      <c r="D23" s="337"/>
      <c r="E23" s="337"/>
      <c r="F23" s="337"/>
      <c r="G23" s="337"/>
      <c r="H23" s="337"/>
      <c r="I23" s="337"/>
      <c r="J23" s="337"/>
      <c r="K23" s="337"/>
      <c r="M23" s="395"/>
      <c r="N23" s="329"/>
    </row>
    <row r="24" spans="1:23" ht="33.75" customHeight="1" outlineLevel="1" x14ac:dyDescent="0.25">
      <c r="A24" s="323" t="s">
        <v>311</v>
      </c>
      <c r="B24" s="324" t="s">
        <v>12</v>
      </c>
      <c r="C24" s="324" t="s">
        <v>16</v>
      </c>
      <c r="D24" s="324" t="s">
        <v>17</v>
      </c>
      <c r="E24" s="324" t="s">
        <v>13</v>
      </c>
      <c r="F24" s="324" t="s">
        <v>14</v>
      </c>
      <c r="G24" s="324" t="s">
        <v>15</v>
      </c>
      <c r="H24" s="324" t="s">
        <v>82</v>
      </c>
      <c r="I24" s="324" t="s">
        <v>83</v>
      </c>
      <c r="J24" s="324" t="s">
        <v>84</v>
      </c>
      <c r="K24" s="324" t="s">
        <v>85</v>
      </c>
      <c r="M24" s="395"/>
      <c r="N24" s="329"/>
    </row>
    <row r="25" spans="1:23" ht="38.25" outlineLevel="1" x14ac:dyDescent="0.25">
      <c r="A25" s="167" t="s">
        <v>386</v>
      </c>
      <c r="B25" s="610"/>
      <c r="C25" s="353"/>
      <c r="D25" s="353"/>
      <c r="E25" s="353"/>
      <c r="F25" s="353"/>
      <c r="G25" s="353"/>
      <c r="H25" s="353"/>
      <c r="I25" s="353"/>
      <c r="J25" s="353"/>
      <c r="K25" s="353"/>
      <c r="M25" s="395" t="s">
        <v>382</v>
      </c>
      <c r="N25" s="329"/>
    </row>
    <row r="26" spans="1:23" ht="38.25" outlineLevel="1" x14ac:dyDescent="0.25">
      <c r="A26" s="167" t="s">
        <v>387</v>
      </c>
      <c r="B26" s="634">
        <f>-'załącznik nr 1 dla KPiR'!B43</f>
        <v>0</v>
      </c>
      <c r="C26" s="353">
        <f>-'załącznik nr 1 dla KPiR'!C43</f>
        <v>0</v>
      </c>
      <c r="D26" s="353">
        <f>-'załącznik nr 1 dla KPiR'!D43</f>
        <v>0</v>
      </c>
      <c r="E26" s="353">
        <f>-'załącznik nr 1 dla KPiR'!E43</f>
        <v>0</v>
      </c>
      <c r="F26" s="353"/>
      <c r="G26" s="353"/>
      <c r="H26" s="353"/>
      <c r="I26" s="353"/>
      <c r="J26" s="353"/>
      <c r="K26" s="353"/>
      <c r="M26" s="395" t="s">
        <v>383</v>
      </c>
      <c r="N26" s="329"/>
      <c r="W26" s="259"/>
    </row>
    <row r="27" spans="1:23" ht="26.25" outlineLevel="1" x14ac:dyDescent="0.25">
      <c r="A27" s="168" t="s">
        <v>363</v>
      </c>
      <c r="B27" s="634"/>
      <c r="C27" s="673"/>
      <c r="D27" s="353"/>
      <c r="E27" s="353"/>
      <c r="F27" s="353"/>
      <c r="G27" s="353"/>
      <c r="H27" s="353"/>
      <c r="I27" s="353"/>
      <c r="J27" s="353"/>
      <c r="K27" s="353"/>
      <c r="M27" s="445" t="s">
        <v>384</v>
      </c>
      <c r="N27" s="329"/>
    </row>
    <row r="28" spans="1:23" ht="26.25" outlineLevel="1" x14ac:dyDescent="0.25">
      <c r="A28" s="168" t="s">
        <v>365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3"/>
      <c r="M28" s="395" t="s">
        <v>382</v>
      </c>
      <c r="N28" s="329"/>
    </row>
    <row r="29" spans="1:23" ht="26.25" outlineLevel="1" x14ac:dyDescent="0.25">
      <c r="A29" s="168" t="s">
        <v>322</v>
      </c>
      <c r="B29" s="393">
        <f>KPIR!D29</f>
        <v>0</v>
      </c>
      <c r="C29" s="353"/>
      <c r="D29" s="353"/>
      <c r="E29" s="353"/>
      <c r="F29" s="353"/>
      <c r="G29" s="353"/>
      <c r="H29" s="353"/>
      <c r="I29" s="353"/>
      <c r="J29" s="353"/>
      <c r="K29" s="353"/>
      <c r="M29" s="395" t="s">
        <v>370</v>
      </c>
      <c r="N29" s="329"/>
    </row>
    <row r="30" spans="1:23" ht="22.5" customHeight="1" outlineLevel="1" x14ac:dyDescent="0.25">
      <c r="A30" s="168" t="s">
        <v>393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M30" s="395" t="s">
        <v>382</v>
      </c>
      <c r="N30" s="329"/>
    </row>
    <row r="31" spans="1:23" ht="29.25" customHeight="1" x14ac:dyDescent="0.25">
      <c r="A31" s="168" t="s">
        <v>501</v>
      </c>
      <c r="B31" s="610"/>
      <c r="C31" s="672"/>
      <c r="D31" s="610"/>
      <c r="E31" s="610"/>
      <c r="F31" s="336"/>
      <c r="G31" s="336"/>
      <c r="H31" s="336"/>
      <c r="I31" s="336"/>
      <c r="J31" s="336"/>
      <c r="K31" s="336"/>
      <c r="L31" s="329"/>
      <c r="M31" s="329"/>
      <c r="N31" s="329"/>
    </row>
    <row r="32" spans="1:23" hidden="1" x14ac:dyDescent="0.25">
      <c r="A32" s="326"/>
      <c r="B32" s="336"/>
      <c r="C32" s="336"/>
      <c r="D32" s="336"/>
      <c r="E32" s="336"/>
      <c r="F32" s="336"/>
      <c r="G32" s="336"/>
      <c r="H32" s="336"/>
      <c r="I32" s="336"/>
      <c r="J32" s="336"/>
      <c r="K32" s="336"/>
      <c r="L32" s="329"/>
      <c r="M32" s="329"/>
      <c r="N32" s="329"/>
    </row>
    <row r="33" spans="1:15" ht="51" hidden="1" customHeight="1" x14ac:dyDescent="0.25">
      <c r="A33" s="817"/>
      <c r="B33" s="817"/>
      <c r="C33" s="817"/>
      <c r="D33" s="817"/>
      <c r="E33" s="817"/>
      <c r="F33" s="817"/>
      <c r="G33" s="817"/>
      <c r="H33" s="817"/>
      <c r="I33" s="817"/>
      <c r="J33" s="817"/>
      <c r="K33" s="817"/>
      <c r="L33" s="329"/>
      <c r="M33" s="329"/>
      <c r="N33" s="329"/>
    </row>
    <row r="34" spans="1:15" ht="7.5" hidden="1" customHeight="1" x14ac:dyDescent="0.25">
      <c r="A34" s="480"/>
      <c r="B34" s="336"/>
      <c r="C34" s="336"/>
      <c r="D34" s="336"/>
      <c r="E34" s="336"/>
      <c r="F34" s="336"/>
      <c r="G34" s="336"/>
      <c r="H34" s="336"/>
      <c r="I34" s="336"/>
      <c r="J34" s="336"/>
      <c r="K34" s="336"/>
      <c r="L34" s="329"/>
      <c r="M34" s="329"/>
      <c r="N34" s="329"/>
    </row>
    <row r="35" spans="1:15" ht="113.25" customHeight="1" x14ac:dyDescent="0.25">
      <c r="A35" s="811"/>
      <c r="B35" s="811"/>
      <c r="C35" s="811"/>
      <c r="D35" s="811"/>
      <c r="E35" s="811"/>
      <c r="F35" s="811"/>
      <c r="G35" s="811"/>
      <c r="H35" s="811"/>
      <c r="I35" s="811"/>
      <c r="J35" s="811"/>
      <c r="K35" s="811"/>
      <c r="L35" s="329"/>
      <c r="M35" s="329"/>
      <c r="N35" s="329"/>
    </row>
    <row r="36" spans="1:15" ht="124.5" customHeight="1" x14ac:dyDescent="0.25">
      <c r="A36" s="810"/>
      <c r="B36" s="810"/>
      <c r="C36" s="810"/>
      <c r="D36" s="810"/>
      <c r="E36" s="810"/>
      <c r="F36" s="810"/>
      <c r="G36" s="810"/>
      <c r="H36" s="810"/>
      <c r="I36" s="810"/>
      <c r="J36" s="810"/>
      <c r="K36" s="810"/>
      <c r="L36" s="329"/>
      <c r="M36" s="329"/>
      <c r="N36" s="329"/>
    </row>
    <row r="37" spans="1:15" ht="5.25" customHeight="1" x14ac:dyDescent="0.25">
      <c r="A37" s="481"/>
      <c r="B37" s="481"/>
      <c r="C37" s="481"/>
      <c r="D37" s="481"/>
      <c r="E37" s="481"/>
      <c r="F37" s="481"/>
      <c r="G37" s="481"/>
      <c r="H37" s="481"/>
      <c r="I37" s="481"/>
      <c r="J37" s="481"/>
      <c r="K37" s="481"/>
      <c r="L37" s="329"/>
      <c r="M37" s="329"/>
      <c r="N37" s="329"/>
    </row>
    <row r="38" spans="1:15" ht="104.25" customHeight="1" x14ac:dyDescent="0.25">
      <c r="A38" s="811"/>
      <c r="B38" s="811"/>
      <c r="C38" s="811"/>
      <c r="D38" s="811"/>
      <c r="E38" s="811"/>
      <c r="F38" s="811"/>
      <c r="G38" s="811"/>
      <c r="H38" s="811"/>
      <c r="I38" s="811"/>
      <c r="J38" s="811"/>
      <c r="K38" s="811"/>
      <c r="L38" s="329"/>
      <c r="M38" s="329"/>
      <c r="N38" s="329"/>
    </row>
    <row r="39" spans="1:15" ht="135" customHeight="1" x14ac:dyDescent="0.25">
      <c r="A39" s="810"/>
      <c r="B39" s="810"/>
      <c r="C39" s="810"/>
      <c r="D39" s="810"/>
      <c r="E39" s="810"/>
      <c r="F39" s="810"/>
      <c r="G39" s="810"/>
      <c r="H39" s="810"/>
      <c r="I39" s="810"/>
      <c r="J39" s="810"/>
      <c r="K39" s="810"/>
      <c r="L39" s="329"/>
      <c r="M39" s="329"/>
      <c r="N39" s="329"/>
      <c r="O39" s="482"/>
    </row>
    <row r="40" spans="1:15" ht="7.5" customHeight="1" x14ac:dyDescent="0.25">
      <c r="A40" s="480"/>
      <c r="F40" s="76"/>
    </row>
    <row r="41" spans="1:15" ht="108.75" customHeight="1" x14ac:dyDescent="0.25">
      <c r="A41" s="811"/>
      <c r="B41" s="811"/>
      <c r="C41" s="811"/>
      <c r="D41" s="811"/>
      <c r="E41" s="811"/>
      <c r="F41" s="811"/>
      <c r="G41" s="811"/>
      <c r="H41" s="811"/>
      <c r="I41" s="811"/>
      <c r="J41" s="811"/>
      <c r="K41" s="811"/>
    </row>
    <row r="42" spans="1:15" ht="102" customHeight="1" x14ac:dyDescent="0.25">
      <c r="A42" s="810"/>
      <c r="B42" s="810"/>
      <c r="C42" s="810"/>
      <c r="D42" s="810"/>
      <c r="E42" s="810"/>
      <c r="F42" s="810"/>
      <c r="G42" s="810"/>
      <c r="H42" s="810"/>
      <c r="I42" s="810"/>
      <c r="J42" s="810"/>
      <c r="K42" s="810"/>
    </row>
    <row r="43" spans="1:15" x14ac:dyDescent="0.25">
      <c r="A43" s="558"/>
      <c r="C43" s="536"/>
      <c r="D43" s="18"/>
      <c r="E43" s="18"/>
      <c r="F43" s="18"/>
      <c r="G43" s="536"/>
      <c r="I43" s="18"/>
      <c r="J43" s="18"/>
      <c r="K43" s="18"/>
    </row>
    <row r="44" spans="1:15" x14ac:dyDescent="0.25">
      <c r="A44" s="559"/>
      <c r="C44" s="537"/>
      <c r="D44" s="16"/>
      <c r="E44" s="16"/>
      <c r="F44" s="16"/>
      <c r="G44" s="537"/>
      <c r="I44" s="16"/>
      <c r="J44" s="16"/>
      <c r="K44" s="16"/>
    </row>
    <row r="45" spans="1:15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</sheetData>
  <sheetProtection sheet="1" objects="1" scenarios="1"/>
  <mergeCells count="11">
    <mergeCell ref="F1:K1"/>
    <mergeCell ref="A42:K42"/>
    <mergeCell ref="A36:K36"/>
    <mergeCell ref="A38:K38"/>
    <mergeCell ref="A39:K39"/>
    <mergeCell ref="A41:K41"/>
    <mergeCell ref="A22:B22"/>
    <mergeCell ref="B5:B7"/>
    <mergeCell ref="B12:B14"/>
    <mergeCell ref="A33:K33"/>
    <mergeCell ref="A35:K35"/>
  </mergeCells>
  <dataValidations count="4">
    <dataValidation type="custom" allowBlank="1" showInputMessage="1" showErrorMessage="1" sqref="B26" xr:uid="{00000000-0002-0000-0500-000000000000}">
      <formula1>B26&lt;0</formula1>
    </dataValidation>
    <dataValidation type="custom" allowBlank="1" showInputMessage="1" showErrorMessage="1" sqref="E25:K25 B28 M28 D28:K28 B25 M25 D25:D26 B30 M30 D30:K30" xr:uid="{00000000-0002-0000-0500-000001000000}">
      <formula1>B25:K25&lt;0</formula1>
    </dataValidation>
    <dataValidation type="custom" allowBlank="1" showInputMessage="1" showErrorMessage="1" sqref="C25 C28 C30" xr:uid="{00000000-0002-0000-0500-000002000000}">
      <formula1>C25:M25&lt;0</formula1>
    </dataValidation>
    <dataValidation type="custom" allowBlank="1" showInputMessage="1" showErrorMessage="1" sqref="C26 M26 E26:K26" xr:uid="{00000000-0002-0000-0500-000003000000}">
      <formula1>C26:K26&lt;0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3"/>
  <sheetViews>
    <sheetView showGridLines="0" topLeftCell="A2" zoomScale="84" zoomScaleNormal="84" zoomScaleSheetLayoutView="82" workbookViewId="0">
      <selection activeCell="B9" sqref="B9"/>
    </sheetView>
  </sheetViews>
  <sheetFormatPr defaultColWidth="9.140625" defaultRowHeight="15" x14ac:dyDescent="0.25"/>
  <cols>
    <col min="1" max="1" width="49.42578125" style="54" bestFit="1" customWidth="1"/>
    <col min="2" max="2" width="9.140625" style="54"/>
    <col min="3" max="3" width="10.28515625" style="54" bestFit="1" customWidth="1"/>
    <col min="4" max="5" width="9.140625" style="54"/>
    <col min="6" max="11" width="9.140625" style="54" hidden="1" customWidth="1"/>
    <col min="12" max="16384" width="9.140625" style="54"/>
  </cols>
  <sheetData>
    <row r="1" spans="1:18" ht="90.75" customHeight="1" thickBot="1" x14ac:dyDescent="0.3">
      <c r="A1" s="544" t="s">
        <v>424</v>
      </c>
      <c r="B1" s="544"/>
      <c r="C1" s="544"/>
      <c r="D1" s="544"/>
      <c r="E1" s="808"/>
      <c r="F1" s="808"/>
      <c r="G1" s="808"/>
      <c r="H1" s="808"/>
      <c r="I1" s="809"/>
      <c r="J1" s="809"/>
      <c r="K1" s="809"/>
    </row>
    <row r="2" spans="1:18" x14ac:dyDescent="0.25">
      <c r="A2" s="545" t="s">
        <v>0</v>
      </c>
      <c r="B2" s="546">
        <f>KPIR!T6</f>
        <v>2024</v>
      </c>
      <c r="C2" s="546">
        <f>B2+1</f>
        <v>2025</v>
      </c>
      <c r="D2" s="546">
        <f t="shared" ref="D2:E2" si="0">C2+1</f>
        <v>2026</v>
      </c>
      <c r="E2" s="546">
        <f t="shared" si="0"/>
        <v>2027</v>
      </c>
      <c r="F2" s="546" t="s">
        <v>14</v>
      </c>
      <c r="G2" s="546" t="s">
        <v>15</v>
      </c>
      <c r="H2" s="547" t="s">
        <v>82</v>
      </c>
      <c r="I2" s="310" t="s">
        <v>83</v>
      </c>
      <c r="J2" s="310" t="s">
        <v>84</v>
      </c>
      <c r="K2" s="311" t="s">
        <v>85</v>
      </c>
    </row>
    <row r="3" spans="1:18" x14ac:dyDescent="0.25">
      <c r="A3" s="716" t="s">
        <v>277</v>
      </c>
      <c r="B3" s="717">
        <f>KPIR!D18</f>
        <v>0</v>
      </c>
      <c r="C3" s="718">
        <f>SUM(C6:C8)</f>
        <v>0</v>
      </c>
      <c r="D3" s="718">
        <f t="shared" ref="D3:E3" si="1">SUM(D6:D8)</f>
        <v>0</v>
      </c>
      <c r="E3" s="718">
        <f t="shared" si="1"/>
        <v>0</v>
      </c>
      <c r="F3" s="312">
        <f t="shared" ref="F3:K3" si="2">SUM(F6:F8)</f>
        <v>0</v>
      </c>
      <c r="G3" s="312">
        <f>SUM(G6:G8)</f>
        <v>0</v>
      </c>
      <c r="H3" s="548">
        <f t="shared" si="2"/>
        <v>0</v>
      </c>
      <c r="I3" s="540">
        <f t="shared" si="2"/>
        <v>0</v>
      </c>
      <c r="J3" s="312">
        <f t="shared" si="2"/>
        <v>0</v>
      </c>
      <c r="K3" s="312">
        <f t="shared" si="2"/>
        <v>0</v>
      </c>
      <c r="O3" s="635"/>
    </row>
    <row r="4" spans="1:18" hidden="1" x14ac:dyDescent="0.25">
      <c r="A4" s="549"/>
      <c r="B4" s="313"/>
      <c r="C4" s="313"/>
      <c r="D4" s="313"/>
      <c r="E4" s="313"/>
      <c r="F4" s="313"/>
      <c r="G4" s="313"/>
      <c r="H4" s="550"/>
      <c r="I4" s="541"/>
      <c r="J4" s="313"/>
      <c r="K4" s="313"/>
    </row>
    <row r="5" spans="1:18" hidden="1" x14ac:dyDescent="0.25">
      <c r="A5" s="549"/>
      <c r="B5" s="313"/>
      <c r="C5" s="313"/>
      <c r="D5" s="313"/>
      <c r="E5" s="313"/>
      <c r="F5" s="313"/>
      <c r="G5" s="313"/>
      <c r="H5" s="550"/>
      <c r="I5" s="541"/>
      <c r="J5" s="313"/>
      <c r="K5" s="313"/>
    </row>
    <row r="6" spans="1:18" x14ac:dyDescent="0.25">
      <c r="A6" s="551" t="s">
        <v>414</v>
      </c>
      <c r="B6" s="707"/>
      <c r="C6" s="110">
        <f>'załącznik nr 1 dla KPiR'!C44</f>
        <v>0</v>
      </c>
      <c r="D6" s="110">
        <f>'załącznik nr 1 dla KPiR'!D44</f>
        <v>0</v>
      </c>
      <c r="E6" s="110">
        <f>'załącznik nr 1 dla KPiR'!E44</f>
        <v>0</v>
      </c>
      <c r="F6" s="110"/>
      <c r="G6" s="110"/>
      <c r="H6" s="552"/>
      <c r="I6" s="542"/>
      <c r="J6" s="110"/>
      <c r="K6" s="110"/>
      <c r="L6" s="317" t="s">
        <v>420</v>
      </c>
      <c r="M6" s="321"/>
      <c r="N6" s="321"/>
      <c r="O6" s="321"/>
      <c r="P6" s="321"/>
      <c r="Q6" s="321"/>
      <c r="R6" s="322"/>
    </row>
    <row r="7" spans="1:18" x14ac:dyDescent="0.25">
      <c r="A7" s="551" t="s">
        <v>415</v>
      </c>
      <c r="B7" s="707"/>
      <c r="C7" s="110">
        <f>'załącznik nr 1 dla KPiR'!C45</f>
        <v>0</v>
      </c>
      <c r="D7" s="110">
        <f>'załącznik nr 1 dla KPiR'!D45</f>
        <v>0</v>
      </c>
      <c r="E7" s="110">
        <f>'załącznik nr 1 dla KPiR'!E45</f>
        <v>0</v>
      </c>
      <c r="F7" s="110"/>
      <c r="G7" s="110"/>
      <c r="H7" s="552"/>
      <c r="I7" s="542"/>
      <c r="J7" s="110"/>
      <c r="K7" s="110"/>
      <c r="L7" s="317" t="s">
        <v>420</v>
      </c>
      <c r="M7" s="322"/>
      <c r="N7" s="322"/>
      <c r="O7" s="322"/>
      <c r="P7" s="322"/>
      <c r="Q7" s="322"/>
      <c r="R7" s="322"/>
    </row>
    <row r="8" spans="1:18" x14ac:dyDescent="0.25">
      <c r="A8" s="551" t="s">
        <v>436</v>
      </c>
      <c r="B8" s="707"/>
      <c r="C8" s="110">
        <f>'załącznik nr 1 dla KPiR'!C46</f>
        <v>0</v>
      </c>
      <c r="D8" s="110">
        <f>'załącznik nr 1 dla KPiR'!D46</f>
        <v>0</v>
      </c>
      <c r="E8" s="110">
        <f>'załącznik nr 1 dla KPiR'!E46</f>
        <v>0</v>
      </c>
      <c r="F8" s="110"/>
      <c r="G8" s="110"/>
      <c r="H8" s="552"/>
      <c r="I8" s="542"/>
      <c r="J8" s="110"/>
      <c r="K8" s="110"/>
      <c r="L8" s="317" t="s">
        <v>420</v>
      </c>
      <c r="M8" s="322"/>
      <c r="N8" s="322"/>
      <c r="O8" s="322"/>
      <c r="P8" s="322"/>
      <c r="Q8" s="322"/>
      <c r="R8" s="322"/>
    </row>
    <row r="9" spans="1:18" x14ac:dyDescent="0.25">
      <c r="A9" s="716" t="s">
        <v>278</v>
      </c>
      <c r="B9" s="717">
        <f>KPIR!D19</f>
        <v>0</v>
      </c>
      <c r="C9" s="717">
        <f>SUM(C10:C18)</f>
        <v>0</v>
      </c>
      <c r="D9" s="717">
        <f t="shared" ref="D9:E9" si="3">SUM(D10:D18)</f>
        <v>0</v>
      </c>
      <c r="E9" s="717">
        <f t="shared" si="3"/>
        <v>0</v>
      </c>
      <c r="F9" s="312">
        <f t="shared" ref="F9:K9" si="4">SUM(F10:F22)</f>
        <v>0</v>
      </c>
      <c r="G9" s="312">
        <f t="shared" si="4"/>
        <v>0</v>
      </c>
      <c r="H9" s="548">
        <f t="shared" si="4"/>
        <v>0</v>
      </c>
      <c r="I9" s="540">
        <f t="shared" si="4"/>
        <v>0</v>
      </c>
      <c r="J9" s="312">
        <f t="shared" si="4"/>
        <v>0</v>
      </c>
      <c r="K9" s="312">
        <f t="shared" si="4"/>
        <v>0</v>
      </c>
      <c r="L9" s="317"/>
      <c r="M9" s="322"/>
      <c r="N9" s="322"/>
      <c r="O9" s="322"/>
      <c r="P9" s="322"/>
      <c r="Q9" s="322"/>
      <c r="R9" s="322"/>
    </row>
    <row r="10" spans="1:18" x14ac:dyDescent="0.25">
      <c r="A10" s="608" t="s">
        <v>438</v>
      </c>
      <c r="B10" s="707"/>
      <c r="C10" s="110">
        <f>'załącznik nr 1 dla KPiR'!C47</f>
        <v>0</v>
      </c>
      <c r="D10" s="110">
        <f>'załącznik nr 1 dla KPiR'!D47</f>
        <v>0</v>
      </c>
      <c r="E10" s="110">
        <f>'załącznik nr 1 dla KPiR'!E47</f>
        <v>0</v>
      </c>
      <c r="F10" s="110"/>
      <c r="G10" s="110"/>
      <c r="H10" s="552"/>
      <c r="I10" s="542"/>
      <c r="J10" s="110"/>
      <c r="K10" s="110"/>
      <c r="L10" s="317" t="s">
        <v>420</v>
      </c>
      <c r="M10" s="322"/>
      <c r="N10" s="322"/>
      <c r="O10" s="322"/>
      <c r="P10" s="322"/>
      <c r="Q10" s="322"/>
      <c r="R10" s="322"/>
    </row>
    <row r="11" spans="1:18" x14ac:dyDescent="0.25">
      <c r="A11" s="608" t="s">
        <v>416</v>
      </c>
      <c r="B11" s="707"/>
      <c r="C11" s="110">
        <f>'załącznik nr 1 dla KPiR'!C48</f>
        <v>0</v>
      </c>
      <c r="D11" s="110">
        <f>'załącznik nr 1 dla KPiR'!D48</f>
        <v>0</v>
      </c>
      <c r="E11" s="110">
        <f>'załącznik nr 1 dla KPiR'!E48</f>
        <v>0</v>
      </c>
      <c r="F11" s="110"/>
      <c r="G11" s="110"/>
      <c r="H11" s="552"/>
      <c r="I11" s="542"/>
      <c r="J11" s="110"/>
      <c r="K11" s="110"/>
      <c r="L11" s="317" t="s">
        <v>420</v>
      </c>
      <c r="M11" s="322"/>
      <c r="N11" s="322"/>
      <c r="O11" s="322"/>
      <c r="P11" s="322"/>
      <c r="Q11" s="322"/>
      <c r="R11" s="322"/>
    </row>
    <row r="12" spans="1:18" x14ac:dyDescent="0.25">
      <c r="A12" s="608" t="s">
        <v>439</v>
      </c>
      <c r="B12" s="707"/>
      <c r="C12" s="110">
        <f>'załącznik nr 1 dla KPiR'!C49</f>
        <v>0</v>
      </c>
      <c r="D12" s="110">
        <f>'załącznik nr 1 dla KPiR'!D49</f>
        <v>0</v>
      </c>
      <c r="E12" s="110">
        <f>'załącznik nr 1 dla KPiR'!E49</f>
        <v>0</v>
      </c>
      <c r="F12" s="110"/>
      <c r="G12" s="110"/>
      <c r="H12" s="552"/>
      <c r="I12" s="542"/>
      <c r="J12" s="110"/>
      <c r="K12" s="110"/>
      <c r="L12" s="317" t="s">
        <v>420</v>
      </c>
      <c r="M12" s="322"/>
      <c r="N12" s="322"/>
      <c r="O12" s="322"/>
      <c r="P12" s="322"/>
      <c r="Q12" s="322"/>
      <c r="R12" s="322"/>
    </row>
    <row r="13" spans="1:18" x14ac:dyDescent="0.25">
      <c r="A13" s="608"/>
      <c r="B13" s="707"/>
      <c r="C13" s="110"/>
      <c r="D13" s="110"/>
      <c r="E13" s="110"/>
      <c r="F13" s="110"/>
      <c r="G13" s="110"/>
      <c r="H13" s="552"/>
      <c r="I13" s="542"/>
      <c r="J13" s="110"/>
      <c r="K13" s="110"/>
      <c r="L13" s="317" t="s">
        <v>420</v>
      </c>
      <c r="M13" s="322"/>
      <c r="N13" s="322"/>
      <c r="O13" s="322"/>
      <c r="P13" s="322"/>
      <c r="Q13" s="322"/>
      <c r="R13" s="322"/>
    </row>
    <row r="14" spans="1:18" x14ac:dyDescent="0.25">
      <c r="A14" s="608" t="s">
        <v>440</v>
      </c>
      <c r="B14" s="707"/>
      <c r="C14" s="110">
        <f>'załącznik nr 1 dla KPiR'!C50</f>
        <v>0</v>
      </c>
      <c r="D14" s="110">
        <f>'załącznik nr 1 dla KPiR'!D50</f>
        <v>0</v>
      </c>
      <c r="E14" s="110">
        <f>'załącznik nr 1 dla KPiR'!E50</f>
        <v>0</v>
      </c>
      <c r="F14" s="110"/>
      <c r="G14" s="110"/>
      <c r="H14" s="552"/>
      <c r="I14" s="542"/>
      <c r="J14" s="110"/>
      <c r="K14" s="110"/>
      <c r="L14" s="317" t="s">
        <v>420</v>
      </c>
      <c r="M14" s="322"/>
      <c r="N14" s="322"/>
      <c r="O14" s="322"/>
      <c r="P14" s="322"/>
      <c r="Q14" s="322"/>
      <c r="R14" s="322"/>
    </row>
    <row r="15" spans="1:18" x14ac:dyDescent="0.25">
      <c r="A15" s="608" t="s">
        <v>417</v>
      </c>
      <c r="B15" s="707"/>
      <c r="C15" s="110">
        <f>'załącznik nr 1 dla KPiR'!C51</f>
        <v>0</v>
      </c>
      <c r="D15" s="110">
        <f>'załącznik nr 1 dla KPiR'!D51</f>
        <v>0</v>
      </c>
      <c r="E15" s="110">
        <f>'załącznik nr 1 dla KPiR'!E51</f>
        <v>0</v>
      </c>
      <c r="F15" s="110"/>
      <c r="G15" s="110"/>
      <c r="H15" s="552"/>
      <c r="I15" s="542"/>
      <c r="J15" s="110"/>
      <c r="K15" s="110"/>
      <c r="L15" s="317" t="s">
        <v>420</v>
      </c>
      <c r="M15" s="322"/>
      <c r="N15" s="322"/>
      <c r="O15" s="322"/>
      <c r="P15" s="322"/>
      <c r="Q15" s="322"/>
      <c r="R15" s="322"/>
    </row>
    <row r="16" spans="1:18" x14ac:dyDescent="0.25">
      <c r="A16" s="608" t="s">
        <v>441</v>
      </c>
      <c r="B16" s="707"/>
      <c r="C16" s="110">
        <f>'załącznik nr 1 dla KPiR'!C52</f>
        <v>0</v>
      </c>
      <c r="D16" s="110">
        <f>'załącznik nr 1 dla KPiR'!D52</f>
        <v>0</v>
      </c>
      <c r="E16" s="110">
        <f>'załącznik nr 1 dla KPiR'!E52</f>
        <v>0</v>
      </c>
      <c r="F16" s="110"/>
      <c r="G16" s="110"/>
      <c r="H16" s="552"/>
      <c r="I16" s="542"/>
      <c r="J16" s="110"/>
      <c r="K16" s="110"/>
      <c r="L16" s="317" t="s">
        <v>420</v>
      </c>
      <c r="M16" s="322"/>
      <c r="N16" s="322"/>
      <c r="O16" s="322"/>
      <c r="P16" s="322"/>
      <c r="Q16" s="322"/>
      <c r="R16" s="322"/>
    </row>
    <row r="17" spans="1:18" x14ac:dyDescent="0.25">
      <c r="A17" s="608" t="s">
        <v>442</v>
      </c>
      <c r="B17" s="707"/>
      <c r="C17" s="110">
        <f>'załącznik nr 1 dla KPiR'!C53</f>
        <v>0</v>
      </c>
      <c r="D17" s="110">
        <f>'załącznik nr 1 dla KPiR'!D53</f>
        <v>0</v>
      </c>
      <c r="E17" s="110">
        <f>'załącznik nr 1 dla KPiR'!E53</f>
        <v>0</v>
      </c>
      <c r="F17" s="110"/>
      <c r="G17" s="110"/>
      <c r="H17" s="552"/>
      <c r="I17" s="542"/>
      <c r="J17" s="110"/>
      <c r="K17" s="110"/>
      <c r="L17" s="317" t="s">
        <v>420</v>
      </c>
      <c r="M17" s="322"/>
      <c r="N17" s="322"/>
      <c r="O17" s="322"/>
      <c r="P17" s="322"/>
      <c r="Q17" s="322"/>
      <c r="R17" s="322"/>
    </row>
    <row r="18" spans="1:18" x14ac:dyDescent="0.25">
      <c r="A18" s="608" t="s">
        <v>443</v>
      </c>
      <c r="B18" s="707"/>
      <c r="C18" s="110">
        <f>'załącznik nr 1 dla KPiR'!C60</f>
        <v>0</v>
      </c>
      <c r="D18" s="110">
        <f>'załącznik nr 1 dla KPiR'!D60</f>
        <v>0</v>
      </c>
      <c r="E18" s="110">
        <f>'załącznik nr 1 dla KPiR'!E60</f>
        <v>0</v>
      </c>
      <c r="F18" s="110"/>
      <c r="G18" s="110"/>
      <c r="H18" s="552"/>
      <c r="I18" s="542"/>
      <c r="J18" s="110"/>
      <c r="K18" s="110"/>
      <c r="L18" s="317" t="s">
        <v>420</v>
      </c>
      <c r="M18" s="322"/>
      <c r="N18" s="322"/>
      <c r="O18" s="322"/>
      <c r="P18" s="322"/>
      <c r="Q18" s="322"/>
      <c r="R18" s="322"/>
    </row>
    <row r="19" spans="1:18" hidden="1" x14ac:dyDescent="0.25">
      <c r="A19" s="608"/>
      <c r="B19" s="707"/>
      <c r="C19" s="110"/>
      <c r="D19" s="110"/>
      <c r="E19" s="110"/>
      <c r="F19" s="110"/>
      <c r="G19" s="110"/>
      <c r="H19" s="552"/>
      <c r="I19" s="542"/>
      <c r="J19" s="110"/>
      <c r="K19" s="110"/>
      <c r="L19" s="317" t="s">
        <v>420</v>
      </c>
      <c r="M19" s="322"/>
      <c r="N19" s="322"/>
      <c r="O19" s="322"/>
      <c r="P19" s="322"/>
      <c r="Q19" s="322"/>
      <c r="R19" s="322"/>
    </row>
    <row r="20" spans="1:18" hidden="1" x14ac:dyDescent="0.25">
      <c r="A20" s="608"/>
      <c r="B20" s="707"/>
      <c r="C20" s="110"/>
      <c r="D20" s="110"/>
      <c r="E20" s="110"/>
      <c r="F20" s="110"/>
      <c r="G20" s="110"/>
      <c r="H20" s="552"/>
      <c r="I20" s="542"/>
      <c r="J20" s="110"/>
      <c r="K20" s="110"/>
      <c r="L20" s="317" t="s">
        <v>420</v>
      </c>
      <c r="M20" s="322"/>
      <c r="N20" s="322"/>
      <c r="O20" s="322"/>
      <c r="P20" s="322"/>
      <c r="Q20" s="322"/>
      <c r="R20" s="322"/>
    </row>
    <row r="21" spans="1:18" hidden="1" x14ac:dyDescent="0.25">
      <c r="A21" s="608"/>
      <c r="B21" s="707"/>
      <c r="C21" s="110"/>
      <c r="D21" s="110"/>
      <c r="E21" s="110"/>
      <c r="F21" s="110"/>
      <c r="G21" s="110"/>
      <c r="H21" s="552"/>
      <c r="I21" s="542"/>
      <c r="J21" s="110"/>
      <c r="K21" s="110"/>
      <c r="L21" s="317" t="s">
        <v>420</v>
      </c>
      <c r="M21" s="322"/>
      <c r="N21" s="322"/>
      <c r="O21" s="322"/>
      <c r="P21" s="322"/>
      <c r="Q21" s="322"/>
      <c r="R21" s="322"/>
    </row>
    <row r="22" spans="1:18" hidden="1" x14ac:dyDescent="0.25">
      <c r="A22" s="608"/>
      <c r="B22" s="707"/>
      <c r="C22" s="110"/>
      <c r="D22" s="110"/>
      <c r="E22" s="110"/>
      <c r="F22" s="110"/>
      <c r="G22" s="110"/>
      <c r="H22" s="552"/>
      <c r="I22" s="542"/>
      <c r="J22" s="110"/>
      <c r="K22" s="110"/>
      <c r="L22" s="317" t="s">
        <v>420</v>
      </c>
      <c r="M22" s="322"/>
      <c r="N22" s="322"/>
      <c r="O22" s="322"/>
      <c r="P22" s="322"/>
      <c r="Q22" s="322"/>
      <c r="R22" s="322"/>
    </row>
    <row r="23" spans="1:18" x14ac:dyDescent="0.25">
      <c r="A23" s="716" t="s">
        <v>279</v>
      </c>
      <c r="B23" s="717">
        <f>KPIR!D20</f>
        <v>0</v>
      </c>
      <c r="C23" s="717">
        <f>SUM(C24:C28)</f>
        <v>0</v>
      </c>
      <c r="D23" s="717">
        <f t="shared" ref="D23:E23" si="5">SUM(D24:D28)</f>
        <v>0</v>
      </c>
      <c r="E23" s="717">
        <f t="shared" si="5"/>
        <v>0</v>
      </c>
      <c r="F23" s="312">
        <f t="shared" ref="F23:K23" si="6">SUM(F24:F28)</f>
        <v>0</v>
      </c>
      <c r="G23" s="312">
        <f t="shared" si="6"/>
        <v>0</v>
      </c>
      <c r="H23" s="548">
        <f t="shared" si="6"/>
        <v>0</v>
      </c>
      <c r="I23" s="540">
        <f t="shared" si="6"/>
        <v>0</v>
      </c>
      <c r="J23" s="312">
        <f t="shared" si="6"/>
        <v>0</v>
      </c>
      <c r="K23" s="312">
        <f t="shared" si="6"/>
        <v>0</v>
      </c>
      <c r="L23" s="317"/>
      <c r="M23" s="322"/>
      <c r="N23" s="322"/>
      <c r="O23" s="322"/>
      <c r="P23" s="322"/>
      <c r="Q23" s="322"/>
      <c r="R23" s="322"/>
    </row>
    <row r="24" spans="1:18" x14ac:dyDescent="0.25">
      <c r="A24" s="608" t="s">
        <v>444</v>
      </c>
      <c r="B24" s="707"/>
      <c r="C24" s="110">
        <f>'załącznik nr 1 dla KPiR'!C55</f>
        <v>0</v>
      </c>
      <c r="D24" s="110">
        <f>'załącznik nr 1 dla KPiR'!D55</f>
        <v>0</v>
      </c>
      <c r="E24" s="110">
        <f>'załącznik nr 1 dla KPiR'!E55</f>
        <v>0</v>
      </c>
      <c r="F24" s="110"/>
      <c r="G24" s="110"/>
      <c r="H24" s="552"/>
      <c r="I24" s="542"/>
      <c r="J24" s="110"/>
      <c r="K24" s="110"/>
      <c r="L24" s="317" t="s">
        <v>420</v>
      </c>
      <c r="M24" s="322"/>
      <c r="N24" s="322"/>
      <c r="O24" s="322"/>
      <c r="P24" s="322"/>
      <c r="Q24" s="322"/>
      <c r="R24" s="322"/>
    </row>
    <row r="25" spans="1:18" x14ac:dyDescent="0.25">
      <c r="A25" s="609" t="s">
        <v>445</v>
      </c>
      <c r="B25" s="707"/>
      <c r="C25" s="110">
        <f>'załącznik nr 1 dla KPiR'!C56</f>
        <v>0</v>
      </c>
      <c r="D25" s="110">
        <f>'załącznik nr 1 dla KPiR'!D56</f>
        <v>0</v>
      </c>
      <c r="E25" s="110">
        <f>'załącznik nr 1 dla KPiR'!E56</f>
        <v>0</v>
      </c>
      <c r="F25" s="110"/>
      <c r="G25" s="110"/>
      <c r="H25" s="552"/>
      <c r="I25" s="542"/>
      <c r="J25" s="110"/>
      <c r="K25" s="110"/>
      <c r="L25" s="317" t="s">
        <v>420</v>
      </c>
      <c r="M25" s="322"/>
      <c r="N25" s="322"/>
      <c r="O25" s="322"/>
      <c r="P25" s="322"/>
      <c r="Q25" s="322"/>
      <c r="R25" s="322"/>
    </row>
    <row r="26" spans="1:18" x14ac:dyDescent="0.25">
      <c r="A26" s="609" t="s">
        <v>446</v>
      </c>
      <c r="B26" s="707"/>
      <c r="C26" s="110">
        <f>'załącznik nr 1 dla KPiR'!C57</f>
        <v>0</v>
      </c>
      <c r="D26" s="110">
        <f>'załącznik nr 1 dla KPiR'!D57</f>
        <v>0</v>
      </c>
      <c r="E26" s="110">
        <f>'załącznik nr 1 dla KPiR'!E57</f>
        <v>0</v>
      </c>
      <c r="F26" s="110">
        <f>'załącznik nr 1 dla KPiR'!F57</f>
        <v>0</v>
      </c>
      <c r="G26" s="110">
        <f>'załącznik nr 1 dla KPiR'!G57</f>
        <v>0</v>
      </c>
      <c r="H26" s="110">
        <f>'załącznik nr 1 dla KPiR'!H57</f>
        <v>0</v>
      </c>
      <c r="I26" s="110">
        <f>'załącznik nr 1 dla KPiR'!I57</f>
        <v>0</v>
      </c>
      <c r="J26" s="110">
        <f>'załącznik nr 1 dla KPiR'!J57</f>
        <v>0</v>
      </c>
      <c r="K26" s="110">
        <f>'załącznik nr 1 dla KPiR'!K57</f>
        <v>0</v>
      </c>
      <c r="L26" s="317" t="s">
        <v>420</v>
      </c>
      <c r="M26" s="322"/>
      <c r="N26" s="322"/>
      <c r="O26" s="322"/>
      <c r="P26" s="322"/>
      <c r="Q26" s="322"/>
      <c r="R26" s="322"/>
    </row>
    <row r="27" spans="1:18" hidden="1" x14ac:dyDescent="0.25">
      <c r="A27" s="609"/>
      <c r="B27" s="707"/>
      <c r="C27" s="110"/>
      <c r="D27" s="110"/>
      <c r="E27" s="110"/>
      <c r="F27" s="110"/>
      <c r="G27" s="110"/>
      <c r="H27" s="552"/>
      <c r="I27" s="542"/>
      <c r="J27" s="110"/>
      <c r="K27" s="110"/>
      <c r="L27" s="317" t="s">
        <v>420</v>
      </c>
      <c r="M27" s="322"/>
      <c r="N27" s="322"/>
      <c r="O27" s="322"/>
      <c r="P27" s="322"/>
      <c r="Q27" s="322"/>
      <c r="R27" s="322"/>
    </row>
    <row r="28" spans="1:18" hidden="1" x14ac:dyDescent="0.25">
      <c r="A28" s="609"/>
      <c r="B28" s="707"/>
      <c r="C28" s="110"/>
      <c r="D28" s="110"/>
      <c r="E28" s="110"/>
      <c r="F28" s="110"/>
      <c r="G28" s="110"/>
      <c r="H28" s="552"/>
      <c r="I28" s="542"/>
      <c r="J28" s="110"/>
      <c r="K28" s="110"/>
      <c r="L28" s="317" t="s">
        <v>420</v>
      </c>
      <c r="M28" s="322"/>
      <c r="N28" s="322"/>
      <c r="O28" s="322"/>
      <c r="P28" s="322"/>
      <c r="Q28" s="322"/>
      <c r="R28" s="322"/>
    </row>
    <row r="29" spans="1:18" x14ac:dyDescent="0.25">
      <c r="A29" s="716" t="s">
        <v>447</v>
      </c>
      <c r="B29" s="717">
        <f>KPIR!D22</f>
        <v>0</v>
      </c>
      <c r="C29" s="717">
        <f>'załącznik nr 1 dla KPiR'!C61</f>
        <v>0</v>
      </c>
      <c r="D29" s="717">
        <f>'załącznik nr 1 dla KPiR'!D61</f>
        <v>0</v>
      </c>
      <c r="E29" s="717">
        <f>'załącznik nr 1 dla KPiR'!E61</f>
        <v>0</v>
      </c>
      <c r="F29" s="312">
        <f t="shared" ref="F29:K29" si="7">F31</f>
        <v>0</v>
      </c>
      <c r="G29" s="312">
        <f t="shared" si="7"/>
        <v>0</v>
      </c>
      <c r="H29" s="312">
        <f t="shared" si="7"/>
        <v>0</v>
      </c>
      <c r="I29" s="312">
        <f t="shared" si="7"/>
        <v>0</v>
      </c>
      <c r="J29" s="312">
        <f t="shared" si="7"/>
        <v>0</v>
      </c>
      <c r="K29" s="312">
        <f t="shared" si="7"/>
        <v>0</v>
      </c>
      <c r="L29" s="317"/>
      <c r="M29" s="322"/>
      <c r="N29" s="322"/>
      <c r="O29" s="322"/>
      <c r="P29" s="322"/>
      <c r="Q29" s="322"/>
      <c r="R29" s="322"/>
    </row>
    <row r="30" spans="1:18" hidden="1" x14ac:dyDescent="0.25">
      <c r="A30" s="553" t="s">
        <v>418</v>
      </c>
      <c r="B30" s="707"/>
      <c r="C30" s="110"/>
      <c r="D30" s="110"/>
      <c r="E30" s="110"/>
      <c r="F30" s="110"/>
      <c r="G30" s="110"/>
      <c r="H30" s="552"/>
      <c r="I30" s="542"/>
      <c r="J30" s="110"/>
      <c r="K30" s="110"/>
      <c r="L30" s="317" t="s">
        <v>420</v>
      </c>
      <c r="M30" s="322"/>
      <c r="N30" s="322"/>
      <c r="O30" s="322"/>
      <c r="P30" s="322"/>
      <c r="Q30" s="322"/>
      <c r="R30" s="322"/>
    </row>
    <row r="31" spans="1:18" hidden="1" x14ac:dyDescent="0.25">
      <c r="A31" s="553" t="s">
        <v>419</v>
      </c>
      <c r="B31" s="707"/>
      <c r="C31" s="110"/>
      <c r="D31" s="110"/>
      <c r="E31" s="110"/>
      <c r="F31" s="110"/>
      <c r="G31" s="110"/>
      <c r="H31" s="552"/>
      <c r="I31" s="542"/>
      <c r="J31" s="110"/>
      <c r="K31" s="110"/>
      <c r="L31" s="317" t="s">
        <v>420</v>
      </c>
      <c r="M31" s="322"/>
      <c r="N31" s="322"/>
      <c r="O31" s="322"/>
      <c r="P31" s="322"/>
      <c r="Q31" s="322"/>
      <c r="R31" s="322"/>
    </row>
    <row r="32" spans="1:18" hidden="1" x14ac:dyDescent="0.25">
      <c r="A32" s="553"/>
      <c r="B32" s="707"/>
      <c r="C32" s="110"/>
      <c r="D32" s="110"/>
      <c r="E32" s="110"/>
      <c r="F32" s="110"/>
      <c r="G32" s="110"/>
      <c r="H32" s="552"/>
      <c r="I32" s="542"/>
      <c r="J32" s="110"/>
      <c r="K32" s="110"/>
      <c r="L32" s="317" t="s">
        <v>420</v>
      </c>
      <c r="M32" s="322"/>
      <c r="N32" s="322"/>
      <c r="O32" s="322"/>
      <c r="P32" s="322"/>
      <c r="Q32" s="322"/>
      <c r="R32" s="322"/>
    </row>
    <row r="33" spans="1:21" hidden="1" x14ac:dyDescent="0.25">
      <c r="A33" s="553"/>
      <c r="B33" s="707"/>
      <c r="C33" s="110"/>
      <c r="D33" s="110"/>
      <c r="E33" s="110"/>
      <c r="F33" s="110"/>
      <c r="G33" s="110"/>
      <c r="H33" s="552"/>
      <c r="I33" s="542"/>
      <c r="J33" s="110"/>
      <c r="K33" s="110"/>
      <c r="L33" s="317" t="s">
        <v>420</v>
      </c>
      <c r="M33" s="322"/>
      <c r="N33" s="322"/>
      <c r="O33" s="322"/>
      <c r="P33" s="322"/>
      <c r="Q33" s="322"/>
      <c r="R33" s="322"/>
    </row>
    <row r="34" spans="1:21" hidden="1" x14ac:dyDescent="0.25">
      <c r="A34" s="553"/>
      <c r="B34" s="707"/>
      <c r="C34" s="110"/>
      <c r="D34" s="110"/>
      <c r="E34" s="110"/>
      <c r="F34" s="110"/>
      <c r="G34" s="110"/>
      <c r="H34" s="552"/>
      <c r="I34" s="542"/>
      <c r="J34" s="110"/>
      <c r="K34" s="110"/>
      <c r="L34" s="317" t="s">
        <v>420</v>
      </c>
      <c r="M34" s="322"/>
      <c r="N34" s="322"/>
      <c r="O34" s="322"/>
      <c r="P34" s="322"/>
      <c r="Q34" s="322"/>
      <c r="R34" s="322"/>
    </row>
    <row r="35" spans="1:21" hidden="1" x14ac:dyDescent="0.25">
      <c r="A35" s="553"/>
      <c r="B35" s="707"/>
      <c r="C35" s="110"/>
      <c r="D35" s="110"/>
      <c r="E35" s="110"/>
      <c r="F35" s="110"/>
      <c r="G35" s="110"/>
      <c r="H35" s="552"/>
      <c r="I35" s="542"/>
      <c r="J35" s="110"/>
      <c r="K35" s="110"/>
      <c r="L35" s="317" t="s">
        <v>420</v>
      </c>
      <c r="M35" s="322"/>
      <c r="N35" s="322"/>
      <c r="O35" s="322"/>
      <c r="P35" s="322"/>
      <c r="Q35" s="322"/>
      <c r="R35" s="322"/>
    </row>
    <row r="36" spans="1:21" hidden="1" x14ac:dyDescent="0.25">
      <c r="A36" s="553"/>
      <c r="B36" s="707"/>
      <c r="C36" s="110"/>
      <c r="D36" s="110"/>
      <c r="E36" s="110"/>
      <c r="F36" s="110"/>
      <c r="G36" s="110"/>
      <c r="H36" s="552"/>
      <c r="I36" s="542"/>
      <c r="J36" s="110"/>
      <c r="K36" s="110"/>
      <c r="L36" s="317" t="s">
        <v>420</v>
      </c>
      <c r="M36" s="322"/>
      <c r="N36" s="322"/>
      <c r="O36" s="322"/>
      <c r="P36" s="322"/>
      <c r="Q36" s="322"/>
      <c r="R36" s="322"/>
      <c r="U36" s="259"/>
    </row>
    <row r="37" spans="1:21" hidden="1" x14ac:dyDescent="0.25">
      <c r="A37" s="553"/>
      <c r="B37" s="707"/>
      <c r="C37" s="110"/>
      <c r="D37" s="110"/>
      <c r="E37" s="110"/>
      <c r="F37" s="110"/>
      <c r="G37" s="110"/>
      <c r="H37" s="552"/>
      <c r="I37" s="542"/>
      <c r="J37" s="110"/>
      <c r="K37" s="110"/>
      <c r="L37" s="317" t="s">
        <v>420</v>
      </c>
      <c r="M37" s="322"/>
      <c r="N37" s="322"/>
      <c r="O37" s="322"/>
      <c r="P37" s="322"/>
      <c r="Q37" s="322"/>
      <c r="R37" s="322"/>
      <c r="U37" s="259"/>
    </row>
    <row r="38" spans="1:21" hidden="1" x14ac:dyDescent="0.25">
      <c r="A38" s="553"/>
      <c r="B38" s="707"/>
      <c r="C38" s="110"/>
      <c r="D38" s="110"/>
      <c r="E38" s="110"/>
      <c r="F38" s="110"/>
      <c r="G38" s="110"/>
      <c r="H38" s="552"/>
      <c r="I38" s="542"/>
      <c r="J38" s="110"/>
      <c r="K38" s="110"/>
      <c r="L38" s="317" t="s">
        <v>420</v>
      </c>
      <c r="M38" s="322"/>
      <c r="N38" s="322"/>
      <c r="O38" s="322"/>
      <c r="P38" s="322"/>
      <c r="Q38" s="322"/>
      <c r="R38" s="322"/>
    </row>
    <row r="39" spans="1:21" hidden="1" x14ac:dyDescent="0.25">
      <c r="A39" s="553"/>
      <c r="B39" s="707"/>
      <c r="C39" s="110"/>
      <c r="D39" s="110"/>
      <c r="E39" s="110"/>
      <c r="F39" s="110"/>
      <c r="G39" s="110"/>
      <c r="H39" s="552"/>
      <c r="I39" s="542"/>
      <c r="J39" s="110"/>
      <c r="K39" s="110"/>
      <c r="L39" s="317" t="s">
        <v>420</v>
      </c>
      <c r="M39" s="322"/>
      <c r="N39" s="322"/>
      <c r="O39" s="322"/>
      <c r="P39" s="322"/>
      <c r="Q39" s="322"/>
      <c r="R39" s="322"/>
    </row>
    <row r="40" spans="1:21" x14ac:dyDescent="0.25">
      <c r="A40" s="716" t="s">
        <v>280</v>
      </c>
      <c r="B40" s="717">
        <f>KPIR!D23</f>
        <v>0</v>
      </c>
      <c r="C40" s="717">
        <f>'załącznik nr 1 dla KPiR'!C58</f>
        <v>0</v>
      </c>
      <c r="D40" s="717">
        <f>'załącznik nr 1 dla KPiR'!D58</f>
        <v>0</v>
      </c>
      <c r="E40" s="717">
        <f>'załącznik nr 1 dla KPiR'!E58</f>
        <v>0</v>
      </c>
      <c r="F40" s="312">
        <f t="shared" ref="F40:K40" si="8">F41*F29</f>
        <v>0</v>
      </c>
      <c r="G40" s="312">
        <f t="shared" si="8"/>
        <v>0</v>
      </c>
      <c r="H40" s="548">
        <f t="shared" si="8"/>
        <v>0</v>
      </c>
      <c r="I40" s="540">
        <f t="shared" si="8"/>
        <v>0</v>
      </c>
      <c r="J40" s="312">
        <f t="shared" si="8"/>
        <v>0</v>
      </c>
      <c r="K40" s="312">
        <f t="shared" si="8"/>
        <v>0</v>
      </c>
      <c r="L40" s="317"/>
      <c r="M40" s="322"/>
      <c r="N40" s="322"/>
      <c r="O40" s="322"/>
      <c r="P40" s="322"/>
      <c r="Q40" s="322"/>
      <c r="R40" s="322"/>
    </row>
    <row r="41" spans="1:21" hidden="1" x14ac:dyDescent="0.25">
      <c r="A41" s="554" t="s">
        <v>276</v>
      </c>
      <c r="B41" s="719"/>
      <c r="C41" s="314">
        <v>0.21</v>
      </c>
      <c r="D41" s="314">
        <v>0.21</v>
      </c>
      <c r="E41" s="314">
        <v>0.21</v>
      </c>
      <c r="F41" s="314">
        <v>0.21</v>
      </c>
      <c r="G41" s="314">
        <v>0.21</v>
      </c>
      <c r="H41" s="555">
        <v>0.21</v>
      </c>
      <c r="I41" s="543">
        <v>0.21</v>
      </c>
      <c r="J41" s="314">
        <v>0.21</v>
      </c>
      <c r="K41" s="314">
        <v>0.21</v>
      </c>
      <c r="L41" s="317" t="s">
        <v>420</v>
      </c>
      <c r="M41" s="322"/>
      <c r="N41" s="322"/>
      <c r="O41" s="322"/>
      <c r="P41" s="322"/>
      <c r="Q41" s="322"/>
      <c r="R41" s="322"/>
    </row>
    <row r="42" spans="1:21" x14ac:dyDescent="0.25">
      <c r="A42" s="716" t="s">
        <v>281</v>
      </c>
      <c r="B42" s="717">
        <f>KPIR!D24</f>
        <v>0</v>
      </c>
      <c r="C42" s="717">
        <f>SUM(C43:C44)</f>
        <v>0</v>
      </c>
      <c r="D42" s="717">
        <f t="shared" ref="D42:K42" si="9">SUM(D43:D44)</f>
        <v>0</v>
      </c>
      <c r="E42" s="717">
        <f t="shared" si="9"/>
        <v>0</v>
      </c>
      <c r="F42" s="312">
        <f t="shared" si="9"/>
        <v>0</v>
      </c>
      <c r="G42" s="312">
        <f t="shared" si="9"/>
        <v>0</v>
      </c>
      <c r="H42" s="548">
        <f t="shared" si="9"/>
        <v>0</v>
      </c>
      <c r="I42" s="540">
        <f t="shared" si="9"/>
        <v>0</v>
      </c>
      <c r="J42" s="312">
        <f t="shared" si="9"/>
        <v>0</v>
      </c>
      <c r="K42" s="312">
        <f t="shared" si="9"/>
        <v>0</v>
      </c>
      <c r="L42" s="317"/>
      <c r="M42" s="322"/>
      <c r="N42" s="322"/>
      <c r="O42" s="322"/>
      <c r="P42" s="322"/>
      <c r="Q42" s="322"/>
      <c r="R42" s="322"/>
    </row>
    <row r="43" spans="1:21" x14ac:dyDescent="0.25">
      <c r="A43" s="553" t="s">
        <v>421</v>
      </c>
      <c r="B43" s="707"/>
      <c r="C43" s="110">
        <f>'załącznik nr 1 dla KPiR'!C59</f>
        <v>0</v>
      </c>
      <c r="D43" s="110">
        <f>'załącznik nr 1 dla KPiR'!D59</f>
        <v>0</v>
      </c>
      <c r="E43" s="110">
        <f>'załącznik nr 1 dla KPiR'!E59</f>
        <v>0</v>
      </c>
      <c r="F43" s="110"/>
      <c r="G43" s="110"/>
      <c r="H43" s="552"/>
      <c r="I43" s="542"/>
      <c r="J43" s="110"/>
      <c r="K43" s="110"/>
      <c r="L43" s="317" t="s">
        <v>420</v>
      </c>
      <c r="M43" s="322"/>
      <c r="N43" s="322"/>
      <c r="O43" s="322"/>
      <c r="P43" s="322"/>
      <c r="Q43" s="322"/>
      <c r="R43" s="322"/>
    </row>
    <row r="44" spans="1:21" x14ac:dyDescent="0.25">
      <c r="A44" s="553" t="s">
        <v>423</v>
      </c>
      <c r="B44" s="707"/>
      <c r="C44" s="110">
        <f>'załącznik nr 1 dla KPiR'!C54</f>
        <v>0</v>
      </c>
      <c r="D44" s="110">
        <f>'załącznik nr 1 dla KPiR'!D54</f>
        <v>0</v>
      </c>
      <c r="E44" s="110">
        <f>'załącznik nr 1 dla KPiR'!E54</f>
        <v>0</v>
      </c>
      <c r="F44" s="110"/>
      <c r="G44" s="110"/>
      <c r="H44" s="552"/>
      <c r="I44" s="542"/>
      <c r="J44" s="110"/>
      <c r="K44" s="110"/>
      <c r="L44" s="317" t="s">
        <v>420</v>
      </c>
      <c r="M44" s="322"/>
      <c r="N44" s="322"/>
      <c r="O44" s="322"/>
      <c r="P44" s="322"/>
      <c r="Q44" s="322"/>
      <c r="R44" s="322"/>
    </row>
    <row r="45" spans="1:21" ht="15.75" thickBot="1" x14ac:dyDescent="0.3">
      <c r="A45" s="720" t="s">
        <v>422</v>
      </c>
      <c r="B45" s="721">
        <f>KPIR!D15</f>
        <v>0</v>
      </c>
      <c r="C45" s="722">
        <f>'załącznik nr 1 dla KPiR'!C27</f>
        <v>0</v>
      </c>
      <c r="D45" s="722">
        <f>'załącznik nr 1 dla KPiR'!D27</f>
        <v>0</v>
      </c>
      <c r="E45" s="722">
        <f>'załącznik nr 1 dla KPiR'!E27</f>
        <v>0</v>
      </c>
      <c r="F45" s="556"/>
      <c r="G45" s="556"/>
      <c r="H45" s="557"/>
      <c r="I45" s="542"/>
      <c r="J45" s="110"/>
      <c r="K45" s="110"/>
      <c r="L45" s="317" t="s">
        <v>420</v>
      </c>
    </row>
    <row r="46" spans="1:21" ht="17.25" customHeight="1" x14ac:dyDescent="0.25">
      <c r="A46" s="818"/>
      <c r="B46" s="811"/>
      <c r="C46" s="811"/>
      <c r="D46" s="811"/>
      <c r="E46" s="811"/>
      <c r="F46" s="811"/>
      <c r="G46" s="811"/>
      <c r="H46" s="811"/>
      <c r="I46" s="819"/>
      <c r="J46" s="819"/>
      <c r="K46" s="819"/>
      <c r="L46" s="320"/>
    </row>
    <row r="47" spans="1:21" ht="15" customHeight="1" x14ac:dyDescent="0.3">
      <c r="A47" s="315" t="s">
        <v>298</v>
      </c>
      <c r="B47" s="297"/>
    </row>
    <row r="48" spans="1:21" x14ac:dyDescent="0.25">
      <c r="A48" s="723" t="s">
        <v>297</v>
      </c>
      <c r="B48" s="319"/>
      <c r="C48" s="58"/>
      <c r="D48" s="58"/>
      <c r="L48" s="317" t="s">
        <v>341</v>
      </c>
    </row>
    <row r="49" spans="1:12" x14ac:dyDescent="0.25">
      <c r="A49" s="702" t="s">
        <v>296</v>
      </c>
      <c r="B49" s="319"/>
      <c r="C49" s="71"/>
      <c r="D49" s="71"/>
      <c r="E49" s="71"/>
      <c r="F49" s="71"/>
      <c r="G49" s="71"/>
      <c r="H49" s="71"/>
      <c r="I49" s="71"/>
      <c r="J49" s="71"/>
      <c r="K49" s="71"/>
      <c r="L49" s="317" t="s">
        <v>341</v>
      </c>
    </row>
    <row r="50" spans="1:12" x14ac:dyDescent="0.25">
      <c r="A50" s="702" t="s">
        <v>299</v>
      </c>
      <c r="B50" s="319"/>
      <c r="C50" s="71"/>
      <c r="D50" s="71"/>
      <c r="E50" s="71"/>
      <c r="F50" s="71"/>
      <c r="G50" s="71"/>
      <c r="H50" s="71"/>
      <c r="I50" s="71"/>
      <c r="J50" s="71"/>
      <c r="K50" s="71"/>
      <c r="L50" s="317" t="s">
        <v>341</v>
      </c>
    </row>
    <row r="52" spans="1:12" x14ac:dyDescent="0.25">
      <c r="A52" s="560"/>
      <c r="B52" s="329"/>
      <c r="C52" s="633"/>
      <c r="D52" s="633"/>
      <c r="E52" s="561"/>
      <c r="F52" s="536" t="s">
        <v>405</v>
      </c>
      <c r="G52" s="561"/>
      <c r="I52" s="561"/>
      <c r="J52" s="561"/>
      <c r="K52" s="561"/>
    </row>
    <row r="53" spans="1:12" x14ac:dyDescent="0.25">
      <c r="A53" s="562"/>
      <c r="B53" s="329"/>
      <c r="C53" s="563"/>
      <c r="D53" s="564"/>
      <c r="E53" s="564"/>
      <c r="F53" s="537" t="s">
        <v>406</v>
      </c>
      <c r="G53" s="564"/>
      <c r="I53" s="564"/>
      <c r="J53" s="564"/>
      <c r="K53" s="564"/>
    </row>
    <row r="54" spans="1:12" x14ac:dyDescent="0.25">
      <c r="A54" s="79"/>
      <c r="B54" s="71"/>
      <c r="C54" s="71"/>
      <c r="D54" s="71"/>
      <c r="E54" s="71"/>
      <c r="F54" s="71"/>
      <c r="G54" s="71"/>
      <c r="H54" s="71"/>
      <c r="I54" s="71"/>
      <c r="J54" s="71"/>
      <c r="K54" s="71"/>
    </row>
    <row r="55" spans="1:12" x14ac:dyDescent="0.25">
      <c r="A55" s="79"/>
      <c r="B55" s="71"/>
      <c r="C55" s="71"/>
      <c r="D55" s="71"/>
      <c r="E55" s="71"/>
      <c r="F55" s="71"/>
      <c r="G55" s="71"/>
      <c r="H55" s="71"/>
      <c r="I55" s="71"/>
      <c r="J55" s="71"/>
      <c r="K55" s="71"/>
    </row>
    <row r="56" spans="1:12" x14ac:dyDescent="0.25">
      <c r="A56" s="79"/>
      <c r="B56" s="71"/>
      <c r="C56" s="71"/>
      <c r="D56" s="71"/>
      <c r="E56" s="71"/>
      <c r="F56" s="71"/>
      <c r="G56" s="71"/>
      <c r="H56" s="71"/>
      <c r="I56" s="71"/>
      <c r="J56" s="71"/>
      <c r="K56" s="71"/>
    </row>
    <row r="57" spans="1:12" x14ac:dyDescent="0.25">
      <c r="A57" s="299"/>
      <c r="B57" s="300"/>
      <c r="C57" s="300"/>
      <c r="D57" s="300"/>
      <c r="E57" s="300"/>
      <c r="F57" s="300"/>
      <c r="G57" s="300"/>
      <c r="H57" s="300"/>
      <c r="I57" s="300"/>
      <c r="J57" s="300"/>
      <c r="K57" s="300"/>
    </row>
    <row r="58" spans="1:12" x14ac:dyDescent="0.25">
      <c r="A58" s="79"/>
      <c r="B58" s="71"/>
      <c r="C58" s="71"/>
      <c r="D58" s="71"/>
      <c r="E58" s="71"/>
      <c r="F58" s="71"/>
      <c r="G58" s="71"/>
      <c r="H58" s="71"/>
      <c r="I58" s="71"/>
      <c r="J58" s="71"/>
      <c r="K58" s="71"/>
    </row>
    <row r="59" spans="1:12" x14ac:dyDescent="0.25">
      <c r="A59" s="79"/>
      <c r="B59" s="71"/>
      <c r="C59" s="71"/>
      <c r="D59" s="71"/>
      <c r="E59" s="71"/>
      <c r="F59" s="71"/>
      <c r="G59" s="71"/>
      <c r="H59" s="71"/>
      <c r="I59" s="71"/>
      <c r="J59" s="71"/>
      <c r="K59" s="71"/>
    </row>
    <row r="60" spans="1:12" x14ac:dyDescent="0.25">
      <c r="A60" s="79"/>
      <c r="B60" s="71"/>
      <c r="C60" s="71"/>
      <c r="D60" s="71"/>
      <c r="E60" s="71"/>
      <c r="F60" s="71"/>
      <c r="G60" s="71"/>
      <c r="H60" s="71"/>
      <c r="I60" s="71"/>
      <c r="J60" s="71"/>
      <c r="K60" s="71"/>
    </row>
    <row r="61" spans="1:12" x14ac:dyDescent="0.25">
      <c r="A61" s="299"/>
      <c r="B61" s="300"/>
      <c r="C61" s="300"/>
      <c r="D61" s="300"/>
      <c r="E61" s="300"/>
      <c r="F61" s="300"/>
      <c r="G61" s="300"/>
      <c r="H61" s="300"/>
      <c r="I61" s="300"/>
      <c r="J61" s="300"/>
      <c r="K61" s="300"/>
    </row>
    <row r="62" spans="1:12" x14ac:dyDescent="0.25">
      <c r="A62" s="79"/>
      <c r="B62" s="71"/>
      <c r="C62" s="71"/>
      <c r="D62" s="71"/>
      <c r="E62" s="71"/>
      <c r="F62" s="71"/>
      <c r="G62" s="71"/>
      <c r="H62" s="71"/>
      <c r="I62" s="71"/>
      <c r="J62" s="71"/>
      <c r="K62" s="71"/>
    </row>
    <row r="63" spans="1:12" x14ac:dyDescent="0.25">
      <c r="A63" s="79"/>
      <c r="B63" s="71"/>
      <c r="C63" s="71"/>
      <c r="D63" s="71"/>
      <c r="E63" s="71"/>
      <c r="F63" s="71"/>
      <c r="G63" s="71"/>
      <c r="H63" s="71"/>
      <c r="I63" s="71"/>
      <c r="J63" s="71"/>
      <c r="K63" s="71"/>
    </row>
    <row r="64" spans="1:12" x14ac:dyDescent="0.25">
      <c r="A64" s="79"/>
      <c r="B64" s="71"/>
      <c r="C64" s="71"/>
      <c r="D64" s="71"/>
      <c r="E64" s="71"/>
      <c r="F64" s="71"/>
      <c r="G64" s="71"/>
      <c r="H64" s="71"/>
      <c r="I64" s="71"/>
      <c r="J64" s="71"/>
      <c r="K64" s="71"/>
    </row>
    <row r="65" spans="1:11" x14ac:dyDescent="0.25">
      <c r="A65" s="79"/>
      <c r="B65" s="71"/>
      <c r="C65" s="71"/>
      <c r="D65" s="71"/>
      <c r="E65" s="71"/>
      <c r="F65" s="71"/>
      <c r="G65" s="71"/>
      <c r="H65" s="71"/>
      <c r="I65" s="71"/>
      <c r="J65" s="71"/>
      <c r="K65" s="71"/>
    </row>
    <row r="66" spans="1:11" x14ac:dyDescent="0.25">
      <c r="A66" s="79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25">
      <c r="A67" s="299"/>
      <c r="B67" s="300"/>
      <c r="C67" s="300"/>
      <c r="D67" s="300"/>
      <c r="E67" s="300"/>
      <c r="F67" s="300"/>
      <c r="G67" s="300"/>
      <c r="H67" s="300"/>
      <c r="I67" s="300"/>
      <c r="J67" s="300"/>
      <c r="K67" s="300"/>
    </row>
    <row r="68" spans="1:11" x14ac:dyDescent="0.25">
      <c r="A68" s="79"/>
      <c r="B68" s="71"/>
      <c r="C68" s="71"/>
      <c r="D68" s="71"/>
      <c r="E68" s="71"/>
      <c r="F68" s="71"/>
      <c r="G68" s="71"/>
      <c r="H68" s="71"/>
      <c r="I68" s="71"/>
      <c r="J68" s="71"/>
      <c r="K68" s="71"/>
    </row>
    <row r="69" spans="1:11" x14ac:dyDescent="0.25">
      <c r="A69" s="299"/>
      <c r="B69" s="300"/>
      <c r="C69" s="300"/>
      <c r="D69" s="300"/>
      <c r="E69" s="300"/>
      <c r="F69" s="300"/>
      <c r="G69" s="300"/>
      <c r="H69" s="300"/>
      <c r="I69" s="300"/>
      <c r="J69" s="300"/>
      <c r="K69" s="300"/>
    </row>
    <row r="70" spans="1:11" x14ac:dyDescent="0.25">
      <c r="A70" s="79"/>
      <c r="B70" s="71"/>
      <c r="C70" s="71"/>
      <c r="D70" s="71"/>
      <c r="E70" s="71"/>
      <c r="F70" s="71"/>
      <c r="G70" s="71"/>
      <c r="H70" s="71"/>
      <c r="I70" s="71"/>
      <c r="J70" s="71"/>
      <c r="K70" s="71"/>
    </row>
    <row r="71" spans="1:11" x14ac:dyDescent="0.25">
      <c r="A71" s="79"/>
      <c r="B71" s="71"/>
      <c r="C71" s="71"/>
      <c r="D71" s="71"/>
      <c r="E71" s="71"/>
      <c r="F71" s="71"/>
      <c r="G71" s="71"/>
      <c r="H71" s="71"/>
      <c r="I71" s="71"/>
      <c r="J71" s="71"/>
      <c r="K71" s="71"/>
    </row>
    <row r="72" spans="1:11" x14ac:dyDescent="0.25">
      <c r="A72" s="79"/>
      <c r="B72" s="71"/>
      <c r="C72" s="71"/>
      <c r="D72" s="71"/>
      <c r="E72" s="71"/>
      <c r="F72" s="71"/>
      <c r="G72" s="71"/>
      <c r="H72" s="71"/>
      <c r="I72" s="71"/>
      <c r="J72" s="71"/>
      <c r="K72" s="71"/>
    </row>
    <row r="73" spans="1:11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</row>
  </sheetData>
  <sheetProtection sheet="1" objects="1" scenarios="1"/>
  <mergeCells count="2">
    <mergeCell ref="A46:K46"/>
    <mergeCell ref="E1:K1"/>
  </mergeCells>
  <pageMargins left="0.70866141732283472" right="0.31496062992125984" top="0.35433070866141736" bottom="0.15748031496062992" header="0.31496062992125984" footer="0.31496062992125984"/>
  <pageSetup paperSize="9" scale="78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4"/>
  <sheetViews>
    <sheetView showGridLines="0" view="pageBreakPreview" topLeftCell="A6" zoomScaleNormal="100" zoomScaleSheetLayoutView="100" workbookViewId="0">
      <selection activeCell="D43" sqref="D43"/>
    </sheetView>
  </sheetViews>
  <sheetFormatPr defaultColWidth="9.140625" defaultRowHeight="15" x14ac:dyDescent="0.25"/>
  <cols>
    <col min="1" max="1" width="2.7109375" style="54" bestFit="1" customWidth="1"/>
    <col min="2" max="2" width="69.28515625" style="54" customWidth="1"/>
    <col min="3" max="3" width="9.140625" style="54"/>
    <col min="4" max="6" width="9.5703125" style="54" bestFit="1" customWidth="1"/>
    <col min="7" max="12" width="9.5703125" style="54" hidden="1" customWidth="1"/>
    <col min="13" max="13" width="0" style="54" hidden="1" customWidth="1"/>
    <col min="14" max="16384" width="9.140625" style="54"/>
  </cols>
  <sheetData>
    <row r="1" spans="1:16" ht="18.75" x14ac:dyDescent="0.25">
      <c r="A1" s="152" t="str">
        <f>[1]Arkusz1!K1</f>
        <v>Rachunek przepływów</v>
      </c>
      <c r="B1" s="169"/>
      <c r="C1" s="170"/>
      <c r="D1" s="170"/>
      <c r="E1" s="170"/>
      <c r="F1" s="171"/>
      <c r="G1" s="170"/>
      <c r="H1" s="170"/>
      <c r="I1" s="170"/>
      <c r="J1" s="170"/>
      <c r="K1" s="170"/>
      <c r="L1" s="171"/>
    </row>
    <row r="2" spans="1:16" ht="15.75" thickBot="1" x14ac:dyDescent="0.3">
      <c r="A2" s="155" t="str">
        <f>[1]Arkusz1!H2</f>
        <v xml:space="preserve"> - wariant porównawczy -</v>
      </c>
      <c r="B2" s="172"/>
      <c r="C2" s="21"/>
      <c r="D2" s="21"/>
      <c r="E2" s="21"/>
      <c r="F2" s="173"/>
      <c r="G2" s="21"/>
      <c r="H2" s="21"/>
      <c r="I2" s="21"/>
      <c r="J2" s="21"/>
      <c r="K2" s="21"/>
      <c r="L2" s="173"/>
    </row>
    <row r="3" spans="1:16" ht="15.75" hidden="1" thickBot="1" x14ac:dyDescent="0.3">
      <c r="A3" s="174"/>
      <c r="B3" s="174"/>
      <c r="C3" s="22"/>
      <c r="D3" s="22" t="s">
        <v>42</v>
      </c>
      <c r="E3" s="22"/>
      <c r="F3" s="175"/>
      <c r="G3" s="22"/>
      <c r="H3" s="22"/>
      <c r="I3" s="22"/>
      <c r="J3" s="22"/>
      <c r="K3" s="22"/>
      <c r="L3" s="175"/>
    </row>
    <row r="4" spans="1:16" ht="15.75" thickBot="1" x14ac:dyDescent="0.3">
      <c r="A4" s="196" t="str">
        <f>[1]Arkusz1!K4</f>
        <v>Wyszczególnienie</v>
      </c>
      <c r="B4" s="176"/>
      <c r="C4" s="4">
        <f>KPIR!T6</f>
        <v>2024</v>
      </c>
      <c r="D4" s="4">
        <f>C4+1</f>
        <v>2025</v>
      </c>
      <c r="E4" s="4">
        <f t="shared" ref="E4:M4" si="0">D4+1</f>
        <v>2026</v>
      </c>
      <c r="F4" s="4">
        <f t="shared" si="0"/>
        <v>2027</v>
      </c>
      <c r="G4" s="4">
        <f t="shared" si="0"/>
        <v>2028</v>
      </c>
      <c r="H4" s="4">
        <f t="shared" si="0"/>
        <v>2029</v>
      </c>
      <c r="I4" s="4">
        <f t="shared" si="0"/>
        <v>2030</v>
      </c>
      <c r="J4" s="4">
        <f t="shared" si="0"/>
        <v>2031</v>
      </c>
      <c r="K4" s="4">
        <f t="shared" si="0"/>
        <v>2032</v>
      </c>
      <c r="L4" s="4">
        <f t="shared" si="0"/>
        <v>2033</v>
      </c>
      <c r="M4" s="4">
        <f t="shared" si="0"/>
        <v>2034</v>
      </c>
    </row>
    <row r="5" spans="1:16" ht="15.75" thickBot="1" x14ac:dyDescent="0.3">
      <c r="A5" s="197"/>
      <c r="B5" s="177" t="str">
        <f>[1]Arkusz1!K5</f>
        <v>Działalność Operacyjna</v>
      </c>
      <c r="C5" s="23"/>
      <c r="D5" s="23"/>
      <c r="E5" s="23"/>
      <c r="F5" s="178"/>
      <c r="G5" s="23"/>
      <c r="H5" s="23"/>
      <c r="I5" s="23"/>
      <c r="J5" s="23"/>
      <c r="K5" s="23"/>
      <c r="L5" s="178"/>
    </row>
    <row r="6" spans="1:16" x14ac:dyDescent="0.25">
      <c r="A6" s="198"/>
      <c r="B6" s="179" t="str">
        <f>[1]Arkusz1!K6</f>
        <v>Przychody ze sprzedaży produktów,  towarów i materiałów</v>
      </c>
      <c r="C6" s="24">
        <f>KPIR!D7+KPIR!D29</f>
        <v>0</v>
      </c>
      <c r="D6" s="24">
        <f>KPIR!F7+KPIR!F29</f>
        <v>0</v>
      </c>
      <c r="E6" s="24">
        <f>KPIR!G7+KPIR!G29</f>
        <v>0</v>
      </c>
      <c r="F6" s="24">
        <f>KPIR!H7+KPIR!H29</f>
        <v>0</v>
      </c>
      <c r="G6" s="24">
        <f>KPIR!I7+KPIR!I29</f>
        <v>0</v>
      </c>
      <c r="H6" s="24">
        <f>KPIR!J7+KPIR!J29</f>
        <v>0</v>
      </c>
      <c r="I6" s="24">
        <f>KPIR!K7+KPIR!K29</f>
        <v>0</v>
      </c>
      <c r="J6" s="24">
        <f>KPIR!L7+KPIR!L29</f>
        <v>0</v>
      </c>
      <c r="K6" s="24">
        <f>KPIR!M7+KPIR!M29</f>
        <v>0</v>
      </c>
      <c r="L6" s="24">
        <f>KPIR!N7+KPIR!N29</f>
        <v>0</v>
      </c>
    </row>
    <row r="7" spans="1:16" hidden="1" x14ac:dyDescent="0.25">
      <c r="A7" s="198"/>
      <c r="B7" s="179" t="s">
        <v>63</v>
      </c>
      <c r="C7" s="24">
        <f>KPIR!D29+KPIR!D30</f>
        <v>0</v>
      </c>
      <c r="D7" s="24">
        <f>KPIR!F29+KPIR!F30</f>
        <v>0</v>
      </c>
      <c r="E7" s="24">
        <f>KPIR!G29+KPIR!G30</f>
        <v>0</v>
      </c>
      <c r="F7" s="24">
        <f>KPIR!H29+KPIR!H30</f>
        <v>0</v>
      </c>
      <c r="G7" s="24">
        <f>KPIR!I29+KPIR!I30</f>
        <v>0</v>
      </c>
      <c r="H7" s="24">
        <f>KPIR!J29+KPIR!J30</f>
        <v>0</v>
      </c>
      <c r="I7" s="24">
        <f>KPIR!K29+KPIR!K30</f>
        <v>0</v>
      </c>
      <c r="J7" s="24">
        <f>KPIR!L29+KPIR!L30</f>
        <v>0</v>
      </c>
      <c r="K7" s="24">
        <f>KPIR!M29+KPIR!M30</f>
        <v>0</v>
      </c>
      <c r="L7" s="24">
        <f>KPIR!N29+KPIR!N30</f>
        <v>0</v>
      </c>
    </row>
    <row r="8" spans="1:16" hidden="1" x14ac:dyDescent="0.25">
      <c r="A8" s="198"/>
      <c r="B8" s="179" t="str">
        <f>[1]Arkusz1!K8</f>
        <v>Zyski nadzwyczajne</v>
      </c>
      <c r="C8" s="24">
        <f>KPIR!D54</f>
        <v>0</v>
      </c>
      <c r="D8" s="24">
        <f>KPIR!F54</f>
        <v>0</v>
      </c>
      <c r="E8" s="24">
        <f>KPIR!G54</f>
        <v>0</v>
      </c>
      <c r="F8" s="24">
        <f>KPIR!H54</f>
        <v>0</v>
      </c>
      <c r="G8" s="24">
        <f>KPIR!I54</f>
        <v>0</v>
      </c>
      <c r="H8" s="24">
        <f>KPIR!J54</f>
        <v>0</v>
      </c>
      <c r="I8" s="24">
        <f>KPIR!K54</f>
        <v>0</v>
      </c>
      <c r="J8" s="24">
        <f>KPIR!L54</f>
        <v>0</v>
      </c>
      <c r="K8" s="24">
        <f>KPIR!M54</f>
        <v>0</v>
      </c>
      <c r="L8" s="24">
        <f>KPIR!N54</f>
        <v>0</v>
      </c>
    </row>
    <row r="9" spans="1:16" x14ac:dyDescent="0.25">
      <c r="A9" s="198"/>
      <c r="B9" s="179" t="str">
        <f>[1]Arkusz1!K9</f>
        <v xml:space="preserve">Koszty działalności operacyjnej (bez amortyzacji) </v>
      </c>
      <c r="C9" s="24">
        <f>-(KPIR!D13-KPIR!D17-KPIR!D44-KPIR!D51)</f>
        <v>0</v>
      </c>
      <c r="D9" s="24">
        <f>-(KPIR!F13-KPIR!F17)+KPIR!F44-KPIR!F51</f>
        <v>0</v>
      </c>
      <c r="E9" s="24">
        <f>-(KPIR!G13-KPIR!G17)+KPIR!G44-KPIR!G51</f>
        <v>0</v>
      </c>
      <c r="F9" s="24">
        <f>-(KPIR!H13-KPIR!H17)+KPIR!H44-KPIR!H51</f>
        <v>0</v>
      </c>
      <c r="G9" s="24">
        <f>-(KPIR!I13-KPIR!I17)+KPIR!I44-KPIR!I51</f>
        <v>0</v>
      </c>
      <c r="H9" s="24">
        <f>-(KPIR!J13-KPIR!J17)+KPIR!J44-KPIR!J51</f>
        <v>0</v>
      </c>
      <c r="I9" s="24">
        <f>-(KPIR!K13-KPIR!K17)+KPIR!K44-KPIR!K51</f>
        <v>0</v>
      </c>
      <c r="J9" s="24">
        <f>-(KPIR!L13-KPIR!L17)+KPIR!L44-KPIR!L51</f>
        <v>0</v>
      </c>
      <c r="K9" s="24">
        <f>-(KPIR!M13-KPIR!M17)+KPIR!M44-KPIR!M51</f>
        <v>0</v>
      </c>
      <c r="L9" s="24">
        <f>-(KPIR!N13-KPIR!N17)+KPIR!N44-KPIR!N51</f>
        <v>0</v>
      </c>
    </row>
    <row r="10" spans="1:16" hidden="1" x14ac:dyDescent="0.25">
      <c r="A10" s="198"/>
      <c r="B10" s="179" t="s">
        <v>62</v>
      </c>
      <c r="C10" s="24">
        <f>-KPIR!D34</f>
        <v>0</v>
      </c>
      <c r="D10" s="24">
        <f>-KPIR!F34</f>
        <v>0</v>
      </c>
      <c r="E10" s="24">
        <f>-KPIR!G34</f>
        <v>0</v>
      </c>
      <c r="F10" s="24">
        <f>-KPIR!H34</f>
        <v>0</v>
      </c>
      <c r="G10" s="24">
        <f>-KPIR!I34</f>
        <v>0</v>
      </c>
      <c r="H10" s="24">
        <f>-KPIR!J34</f>
        <v>0</v>
      </c>
      <c r="I10" s="24">
        <f>-KPIR!K34</f>
        <v>0</v>
      </c>
      <c r="J10" s="24">
        <f>-KPIR!L34</f>
        <v>0</v>
      </c>
      <c r="K10" s="24">
        <f>-KPIR!M34</f>
        <v>0</v>
      </c>
      <c r="L10" s="24">
        <f>-KPIR!N34</f>
        <v>0</v>
      </c>
    </row>
    <row r="11" spans="1:16" x14ac:dyDescent="0.25">
      <c r="A11" s="198"/>
      <c r="B11" s="179" t="s">
        <v>351</v>
      </c>
      <c r="C11" s="24">
        <f>-KPIR!D55</f>
        <v>0</v>
      </c>
      <c r="D11" s="24">
        <f>-KPIR!F55</f>
        <v>0</v>
      </c>
      <c r="E11" s="24">
        <f>-KPIR!G55</f>
        <v>0</v>
      </c>
      <c r="F11" s="24">
        <f>-KPIR!H55</f>
        <v>0</v>
      </c>
      <c r="G11" s="24">
        <f>-KPIR!I55</f>
        <v>0</v>
      </c>
      <c r="H11" s="24">
        <f>-KPIR!J55</f>
        <v>0</v>
      </c>
      <c r="I11" s="24">
        <f>-KPIR!K55</f>
        <v>0</v>
      </c>
      <c r="J11" s="24">
        <f>-KPIR!L55</f>
        <v>0</v>
      </c>
      <c r="K11" s="24">
        <f>-KPIR!M55</f>
        <v>0</v>
      </c>
      <c r="L11" s="24">
        <f>-KPIR!N55</f>
        <v>0</v>
      </c>
    </row>
    <row r="12" spans="1:16" x14ac:dyDescent="0.25">
      <c r="A12" s="198"/>
      <c r="B12" s="179" t="str">
        <f>[1]Arkusz1!K12</f>
        <v>Wzrost(-) lub spadek (+) stanu należności</v>
      </c>
      <c r="C12" s="24"/>
      <c r="D12" s="24">
        <f>-(bilans!D49-bilans!C49)</f>
        <v>0</v>
      </c>
      <c r="E12" s="24">
        <f>-(bilans!E49-bilans!D49)</f>
        <v>0</v>
      </c>
      <c r="F12" s="24">
        <f>-(bilans!F49-bilans!E49)</f>
        <v>0</v>
      </c>
      <c r="G12" s="24">
        <f>-(bilans!G49-bilans!F49)</f>
        <v>0</v>
      </c>
      <c r="H12" s="24">
        <f>-(bilans!H49-bilans!G49)</f>
        <v>0</v>
      </c>
      <c r="I12" s="24">
        <f>-(bilans!I49-bilans!H49)</f>
        <v>0</v>
      </c>
      <c r="J12" s="24">
        <f>-(bilans!J49-bilans!I49)</f>
        <v>0</v>
      </c>
      <c r="K12" s="24">
        <f>-(bilans!K49-bilans!J49)</f>
        <v>0</v>
      </c>
      <c r="L12" s="24">
        <f>-(bilans!L49-bilans!K49)</f>
        <v>0</v>
      </c>
    </row>
    <row r="13" spans="1:16" hidden="1" x14ac:dyDescent="0.25">
      <c r="A13" s="198"/>
      <c r="B13" s="179" t="str">
        <f>[1]Arkusz1!K13</f>
        <v>Wzrost (+) lub spadek (-) stanu rezerw</v>
      </c>
      <c r="C13" s="24"/>
      <c r="D13" s="24">
        <f>bilans!D94-bilans!C94</f>
        <v>0</v>
      </c>
      <c r="E13" s="24">
        <f>bilans!E94-bilans!D94</f>
        <v>0</v>
      </c>
      <c r="F13" s="24">
        <f>bilans!F94-bilans!E94</f>
        <v>0</v>
      </c>
      <c r="G13" s="24">
        <f>bilans!G94-bilans!F94</f>
        <v>0</v>
      </c>
      <c r="H13" s="24">
        <f>bilans!H94-bilans!G94</f>
        <v>0</v>
      </c>
      <c r="I13" s="24">
        <f>bilans!I94-bilans!H94</f>
        <v>0</v>
      </c>
      <c r="J13" s="24">
        <f>bilans!J94-bilans!I94</f>
        <v>0</v>
      </c>
      <c r="K13" s="24">
        <f>bilans!K94-bilans!J94</f>
        <v>0</v>
      </c>
      <c r="L13" s="24">
        <f>bilans!L94-bilans!K94</f>
        <v>0</v>
      </c>
    </row>
    <row r="14" spans="1:16" hidden="1" x14ac:dyDescent="0.25">
      <c r="A14" s="198"/>
      <c r="B14" s="179" t="str">
        <f>[1]Arkusz1!K14</f>
        <v>Wzrost (+) lub spadek (-) stanu RMB</v>
      </c>
      <c r="C14" s="24"/>
      <c r="D14" s="24">
        <f>bilans!D129-bilans!C129</f>
        <v>0</v>
      </c>
      <c r="E14" s="24">
        <f>bilans!E129-bilans!D129</f>
        <v>0</v>
      </c>
      <c r="F14" s="24">
        <f>bilans!F129-bilans!E129</f>
        <v>0</v>
      </c>
      <c r="G14" s="24">
        <f>bilans!G129-bilans!F129</f>
        <v>0</v>
      </c>
      <c r="H14" s="24">
        <f>bilans!H129-bilans!G129</f>
        <v>0</v>
      </c>
      <c r="I14" s="24">
        <f>bilans!I129-bilans!H129</f>
        <v>0</v>
      </c>
      <c r="J14" s="24">
        <f>bilans!J129-bilans!I129</f>
        <v>0</v>
      </c>
      <c r="K14" s="24">
        <f>bilans!K129-bilans!J129</f>
        <v>0</v>
      </c>
      <c r="L14" s="24">
        <f>bilans!L129-bilans!K129</f>
        <v>0</v>
      </c>
    </row>
    <row r="15" spans="1:16" x14ac:dyDescent="0.25">
      <c r="A15" s="198"/>
      <c r="B15" s="179" t="str">
        <f>[1]Arkusz1!K15</f>
        <v>Wzrost (-) lub spadek (+) stanu zapasów</v>
      </c>
      <c r="C15" s="24">
        <f>-KPIR!D51</f>
        <v>0</v>
      </c>
      <c r="D15" s="24">
        <f>-(bilans!D43-bilans!C43)</f>
        <v>0</v>
      </c>
      <c r="E15" s="24">
        <f>-(bilans!E43-bilans!D43)</f>
        <v>0</v>
      </c>
      <c r="F15" s="24">
        <f>-(bilans!F43-bilans!E43)</f>
        <v>0</v>
      </c>
      <c r="G15" s="24">
        <f>-(bilans!G43-bilans!F43)</f>
        <v>0</v>
      </c>
      <c r="H15" s="24">
        <f>-(bilans!H43-bilans!G43)</f>
        <v>0</v>
      </c>
      <c r="I15" s="24">
        <f>-(bilans!I43-bilans!H43)</f>
        <v>0</v>
      </c>
      <c r="J15" s="24">
        <f>-(bilans!J43-bilans!I43)</f>
        <v>0</v>
      </c>
      <c r="K15" s="24">
        <f>-(bilans!K43-bilans!J43)</f>
        <v>0</v>
      </c>
      <c r="L15" s="24">
        <f>-(bilans!L43-bilans!K43)</f>
        <v>0</v>
      </c>
    </row>
    <row r="16" spans="1:16" x14ac:dyDescent="0.25">
      <c r="A16" s="198"/>
      <c r="B16" s="179" t="str">
        <f>[1]Arkusz1!K16</f>
        <v>Wzrost (+) lub spadek (-) stanu zobowiązań krótkoterm.</v>
      </c>
      <c r="C16" s="24"/>
      <c r="D16" s="24">
        <f>(bilans!D120-bilans!C120)</f>
        <v>0</v>
      </c>
      <c r="E16" s="24">
        <f>(bilans!E120-bilans!D120)</f>
        <v>0</v>
      </c>
      <c r="F16" s="24">
        <f>(bilans!F120-bilans!E120)</f>
        <v>0</v>
      </c>
      <c r="G16" s="24">
        <f>(bilans!G120-bilans!F120)</f>
        <v>0</v>
      </c>
      <c r="H16" s="24">
        <f>(bilans!H120-bilans!G120)</f>
        <v>0</v>
      </c>
      <c r="I16" s="24">
        <f>(bilans!I120-bilans!H120)</f>
        <v>0</v>
      </c>
      <c r="J16" s="24">
        <f>(bilans!J120-bilans!I120)</f>
        <v>0</v>
      </c>
      <c r="K16" s="24">
        <f>(bilans!K120-bilans!J120)</f>
        <v>0</v>
      </c>
      <c r="L16" s="674">
        <f>(bilans!L120-bilans!K120)</f>
        <v>0</v>
      </c>
      <c r="M16" s="675"/>
      <c r="P16" s="58"/>
    </row>
    <row r="17" spans="1:12" hidden="1" x14ac:dyDescent="0.25">
      <c r="A17" s="198"/>
      <c r="B17" s="179" t="str">
        <f>[1]Arkusz1!K17</f>
        <v>Wzrost (-) lub spadek (+) stanu RMC</v>
      </c>
      <c r="C17" s="24"/>
      <c r="D17" s="24">
        <f>-(bilans!D79-bilans!C79)</f>
        <v>0</v>
      </c>
      <c r="E17" s="24">
        <f>-(bilans!E79-bilans!D79)</f>
        <v>0</v>
      </c>
      <c r="F17" s="24">
        <f>-(bilans!F79-bilans!E79)</f>
        <v>0</v>
      </c>
      <c r="G17" s="24">
        <f>-(bilans!G79-bilans!F79)</f>
        <v>0</v>
      </c>
      <c r="H17" s="24">
        <f>-(bilans!H79-bilans!G79)</f>
        <v>0</v>
      </c>
      <c r="I17" s="24">
        <f>-(bilans!I79-bilans!H79)</f>
        <v>0</v>
      </c>
      <c r="J17" s="24">
        <f>-(bilans!J79-bilans!I79)</f>
        <v>0</v>
      </c>
      <c r="K17" s="24">
        <f>-(bilans!K79-bilans!J79)</f>
        <v>0</v>
      </c>
      <c r="L17" s="24">
        <f>-(bilans!L79-bilans!K79)</f>
        <v>0</v>
      </c>
    </row>
    <row r="18" spans="1:12" hidden="1" x14ac:dyDescent="0.25">
      <c r="A18" s="198"/>
      <c r="B18" s="179" t="str">
        <f>[1]Arkusz1!K18</f>
        <v>Wynik na sprzedaży niefinansowych aktywów trwałych (+,-)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75" thickBot="1" x14ac:dyDescent="0.3">
      <c r="A19" s="198"/>
      <c r="B19" s="179" t="str">
        <f>[1]Arkusz1!K19</f>
        <v>Podatek dochodowy (-)</v>
      </c>
      <c r="C19" s="24">
        <f>-KPIR!D57</f>
        <v>0</v>
      </c>
      <c r="D19" s="24">
        <f>-KPIR!F57</f>
        <v>0</v>
      </c>
      <c r="E19" s="24">
        <f>-KPIR!G57</f>
        <v>0</v>
      </c>
      <c r="F19" s="24">
        <f>-KPIR!H57</f>
        <v>0</v>
      </c>
      <c r="G19" s="24">
        <f>-KPIR!I57</f>
        <v>0</v>
      </c>
      <c r="H19" s="24">
        <f>-KPIR!J57</f>
        <v>0</v>
      </c>
      <c r="I19" s="24">
        <f>-KPIR!K57</f>
        <v>0</v>
      </c>
      <c r="J19" s="24">
        <f>-KPIR!L57</f>
        <v>0</v>
      </c>
      <c r="K19" s="24">
        <f>-KPIR!M57</f>
        <v>0</v>
      </c>
      <c r="L19" s="24">
        <f>-KPIR!N57</f>
        <v>0</v>
      </c>
    </row>
    <row r="20" spans="1:12" ht="15.75" hidden="1" thickBot="1" x14ac:dyDescent="0.3">
      <c r="A20" s="199"/>
      <c r="B20" s="180" t="str">
        <f>[1]Arkusz1!K20</f>
        <v>Inne</v>
      </c>
      <c r="C20" s="41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.75" thickBot="1" x14ac:dyDescent="0.3">
      <c r="A21" s="200" t="s">
        <v>18</v>
      </c>
      <c r="B21" s="181" t="str">
        <f>[1]Arkusz1!K21</f>
        <v>Przepływy działalności operacyjnej (I-II)</v>
      </c>
      <c r="C21" s="26">
        <f t="shared" ref="C21:K21" si="1">SUM(C6:C20)</f>
        <v>0</v>
      </c>
      <c r="D21" s="26">
        <f t="shared" si="1"/>
        <v>0</v>
      </c>
      <c r="E21" s="26">
        <f t="shared" si="1"/>
        <v>0</v>
      </c>
      <c r="F21" s="26">
        <f t="shared" si="1"/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f t="shared" ref="L21" si="2">SUM(L6:L20)</f>
        <v>0</v>
      </c>
    </row>
    <row r="22" spans="1:12" ht="15.75" thickBot="1" x14ac:dyDescent="0.3">
      <c r="A22" s="182"/>
      <c r="B22" s="182" t="str">
        <f>[1]Arkusz1!K22</f>
        <v>Działalność Finansowa</v>
      </c>
      <c r="C22" s="49"/>
      <c r="D22" s="49"/>
      <c r="E22" s="49"/>
      <c r="F22" s="183"/>
      <c r="G22" s="49"/>
      <c r="H22" s="49"/>
      <c r="I22" s="49"/>
      <c r="J22" s="49"/>
      <c r="K22" s="49"/>
      <c r="L22" s="183"/>
    </row>
    <row r="23" spans="1:12" hidden="1" x14ac:dyDescent="0.25">
      <c r="A23" s="201"/>
      <c r="B23" s="184" t="str">
        <f>[1]Arkusz1!K23</f>
        <v>Przychody finansowe</v>
      </c>
      <c r="C23" s="56">
        <f>KPIR!D36</f>
        <v>0</v>
      </c>
      <c r="D23" s="56">
        <f>KPIR!F36</f>
        <v>0</v>
      </c>
      <c r="E23" s="56">
        <f>KPIR!G36</f>
        <v>0</v>
      </c>
      <c r="F23" s="56">
        <f>KPIR!H36</f>
        <v>0</v>
      </c>
      <c r="G23" s="56">
        <f>KPIR!I36</f>
        <v>0</v>
      </c>
      <c r="H23" s="56">
        <f>KPIR!J36</f>
        <v>0</v>
      </c>
      <c r="I23" s="56">
        <f>KPIR!K36</f>
        <v>0</v>
      </c>
      <c r="J23" s="56">
        <f>KPIR!L36</f>
        <v>0</v>
      </c>
      <c r="K23" s="56">
        <f>KPIR!M36</f>
        <v>0</v>
      </c>
      <c r="L23" s="56">
        <f>KPIR!N36</f>
        <v>0</v>
      </c>
    </row>
    <row r="24" spans="1:12" x14ac:dyDescent="0.25">
      <c r="A24" s="201"/>
      <c r="B24" s="184" t="str">
        <f>[1]Arkusz1!K24</f>
        <v>Koszty  finansowe</v>
      </c>
      <c r="C24" s="56">
        <f>-KPIR!D44</f>
        <v>0</v>
      </c>
      <c r="D24" s="56">
        <f>-KPIR!F44</f>
        <v>0</v>
      </c>
      <c r="E24" s="56">
        <f>-KPIR!G44</f>
        <v>0</v>
      </c>
      <c r="F24" s="56">
        <f>-KPIR!H44</f>
        <v>0</v>
      </c>
      <c r="G24" s="56">
        <f>-KPIR!I44</f>
        <v>0</v>
      </c>
      <c r="H24" s="56">
        <f>-KPIR!J44</f>
        <v>0</v>
      </c>
      <c r="I24" s="56">
        <f>-KPIR!K44</f>
        <v>0</v>
      </c>
      <c r="J24" s="56">
        <f>-KPIR!L44</f>
        <v>0</v>
      </c>
      <c r="K24" s="56">
        <f>-KPIR!M44</f>
        <v>0</v>
      </c>
      <c r="L24" s="56">
        <f>-KPIR!N44</f>
        <v>0</v>
      </c>
    </row>
    <row r="25" spans="1:12" x14ac:dyDescent="0.25">
      <c r="A25" s="201"/>
      <c r="B25" s="602" t="s">
        <v>74</v>
      </c>
      <c r="C25" s="603">
        <f>-KPIR!D47</f>
        <v>0</v>
      </c>
      <c r="D25" s="603">
        <f>IF($D$31=0,0,-'POŻYCZKA I'!J43-'POŻYCZKA II'!J43)</f>
        <v>0</v>
      </c>
      <c r="E25" s="603">
        <f>IF($D$31=0,-'POŻYCZKA I'!J43-'POŻYCZKA II'!J43,-'POŻYCZKA I'!J55-'POŻYCZKA II'!J55)</f>
        <v>0</v>
      </c>
      <c r="F25" s="603">
        <f>IF($D$31=0,-'POŻYCZKA I'!J55-'POŻYCZKA II'!J55,-'POŻYCZKA I'!J67-'POŻYCZKA II'!J67)</f>
        <v>0</v>
      </c>
      <c r="G25" s="56">
        <f>IF($D$31=0,-'POŻYCZKA I'!J67,-'POŻYCZKA I'!J79)</f>
        <v>0</v>
      </c>
      <c r="H25" s="56">
        <f>IF($D$31=0,-'POŻYCZKA I'!J79,-'POŻYCZKA I'!J91)</f>
        <v>0</v>
      </c>
      <c r="I25" s="56">
        <f>IF($D$31=0,-'POŻYCZKA I'!J91,-'POŻYCZKA I'!J103)</f>
        <v>0</v>
      </c>
      <c r="J25" s="56">
        <f>IF($D$31=0,-'POŻYCZKA I'!J103,-'POŻYCZKA I'!J115)</f>
        <v>0</v>
      </c>
      <c r="K25" s="56">
        <f>IF($D$31=0,-'POŻYCZKA I'!J115,-'POŻYCZKA I'!J127)</f>
        <v>0</v>
      </c>
      <c r="L25" s="56">
        <f>IF($D$31=0,-'POŻYCZKA I'!J127,-'POŻYCZKA I'!J139)</f>
        <v>0</v>
      </c>
    </row>
    <row r="26" spans="1:12" ht="15.75" customHeight="1" x14ac:dyDescent="0.25">
      <c r="A26" s="201"/>
      <c r="B26" s="602" t="s">
        <v>75</v>
      </c>
      <c r="C26" s="603">
        <f>-KPIR!D48</f>
        <v>0</v>
      </c>
      <c r="D26" s="603">
        <f>-KPIR!F48</f>
        <v>0</v>
      </c>
      <c r="E26" s="603">
        <f>-KPIR!G48</f>
        <v>0</v>
      </c>
      <c r="F26" s="603">
        <f>-KPIR!H48</f>
        <v>0</v>
      </c>
      <c r="G26" s="56">
        <f>-KPIR!I48</f>
        <v>0</v>
      </c>
      <c r="H26" s="56">
        <f>-KPIR!J48</f>
        <v>0</v>
      </c>
      <c r="I26" s="56">
        <f>-KPIR!K48</f>
        <v>0</v>
      </c>
      <c r="J26" s="56">
        <f>-KPIR!L48</f>
        <v>0</v>
      </c>
      <c r="K26" s="56">
        <f>-KPIR!M48</f>
        <v>0</v>
      </c>
      <c r="L26" s="56">
        <f>-KPIR!N48</f>
        <v>0</v>
      </c>
    </row>
    <row r="27" spans="1:12" hidden="1" x14ac:dyDescent="0.25">
      <c r="A27" s="201"/>
      <c r="B27" s="184" t="str">
        <f>[1]Arkusz1!K25</f>
        <v>Wynik na sprzedaży i aktualizacji wartości inwestycji (+,-)</v>
      </c>
      <c r="C27" s="56"/>
      <c r="D27" s="56">
        <f>C27</f>
        <v>0</v>
      </c>
      <c r="E27" s="56">
        <f t="shared" ref="E27:L29" si="3">D27</f>
        <v>0</v>
      </c>
      <c r="F27" s="56">
        <f t="shared" si="3"/>
        <v>0</v>
      </c>
      <c r="G27" s="56">
        <f t="shared" si="3"/>
        <v>0</v>
      </c>
      <c r="H27" s="56">
        <f t="shared" si="3"/>
        <v>0</v>
      </c>
      <c r="I27" s="56">
        <f t="shared" si="3"/>
        <v>0</v>
      </c>
      <c r="J27" s="56">
        <f t="shared" si="3"/>
        <v>0</v>
      </c>
      <c r="K27" s="56">
        <f t="shared" si="3"/>
        <v>0</v>
      </c>
      <c r="L27" s="56">
        <f t="shared" si="3"/>
        <v>0</v>
      </c>
    </row>
    <row r="28" spans="1:12" hidden="1" x14ac:dyDescent="0.25">
      <c r="A28" s="201"/>
      <c r="B28" s="184" t="s">
        <v>61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hidden="1" x14ac:dyDescent="0.25">
      <c r="A29" s="201"/>
      <c r="B29" s="184" t="str">
        <f>[1]Arkusz1!K27</f>
        <v>Zaciągnięcie / spłata długoterminowych zobowiązań</v>
      </c>
      <c r="C29" s="56"/>
      <c r="D29" s="56">
        <f>C29</f>
        <v>0</v>
      </c>
      <c r="E29" s="56">
        <f t="shared" si="3"/>
        <v>0</v>
      </c>
      <c r="F29" s="56">
        <f t="shared" si="3"/>
        <v>0</v>
      </c>
      <c r="G29" s="56">
        <f t="shared" si="3"/>
        <v>0</v>
      </c>
      <c r="H29" s="56">
        <f t="shared" si="3"/>
        <v>0</v>
      </c>
      <c r="I29" s="56">
        <f t="shared" si="3"/>
        <v>0</v>
      </c>
      <c r="J29" s="56">
        <f t="shared" si="3"/>
        <v>0</v>
      </c>
      <c r="K29" s="56">
        <f t="shared" si="3"/>
        <v>0</v>
      </c>
      <c r="L29" s="56">
        <f t="shared" si="3"/>
        <v>0</v>
      </c>
    </row>
    <row r="30" spans="1:12" x14ac:dyDescent="0.25">
      <c r="A30" s="201"/>
      <c r="B30" s="184" t="str">
        <f>[1]Arkusz1!K28</f>
        <v>Zaciągnięcie / spłata kredytów  i pożyczek krótkoterminowych</v>
      </c>
      <c r="C30" s="56">
        <f>C31+C32+C34+C35</f>
        <v>0</v>
      </c>
      <c r="D30" s="56">
        <f>D31+D32+D34+D35</f>
        <v>0</v>
      </c>
      <c r="E30" s="56">
        <f t="shared" ref="E30:L30" si="4">E31+E32+E34+E35</f>
        <v>0</v>
      </c>
      <c r="F30" s="56">
        <f t="shared" si="4"/>
        <v>0</v>
      </c>
      <c r="G30" s="56">
        <f t="shared" si="4"/>
        <v>0</v>
      </c>
      <c r="H30" s="56">
        <f t="shared" si="4"/>
        <v>0</v>
      </c>
      <c r="I30" s="56">
        <f t="shared" si="4"/>
        <v>0</v>
      </c>
      <c r="J30" s="56">
        <f t="shared" si="4"/>
        <v>0</v>
      </c>
      <c r="K30" s="56">
        <f t="shared" si="4"/>
        <v>0</v>
      </c>
      <c r="L30" s="56">
        <f t="shared" si="4"/>
        <v>0</v>
      </c>
    </row>
    <row r="31" spans="1:12" x14ac:dyDescent="0.25">
      <c r="A31" s="201"/>
      <c r="B31" s="602" t="s">
        <v>77</v>
      </c>
      <c r="C31" s="603"/>
      <c r="D31" s="603">
        <f>IF('POŻYCZKA I'!L43-KPIR!T6=2,0,'POŻYCZKA I'!F42+'POŻYCZKA II'!F42)</f>
        <v>0</v>
      </c>
      <c r="E31" s="603">
        <f>IF('POŻYCZKA I'!L43-KPIR!T6=1,0,'POŻYCZKA I'!F42+'POŻYCZKA II'!F42)</f>
        <v>0</v>
      </c>
      <c r="F31" s="603"/>
      <c r="G31" s="56"/>
      <c r="H31" s="56"/>
      <c r="I31" s="56"/>
      <c r="J31" s="56"/>
      <c r="K31" s="56"/>
      <c r="L31" s="56"/>
    </row>
    <row r="32" spans="1:12" x14ac:dyDescent="0.25">
      <c r="A32" s="201"/>
      <c r="B32" s="604" t="s">
        <v>76</v>
      </c>
      <c r="C32" s="603"/>
      <c r="D32" s="603">
        <f>'plan sprzedaży i zakupów '!C31</f>
        <v>0</v>
      </c>
      <c r="E32" s="603"/>
      <c r="F32" s="603"/>
      <c r="G32" s="56"/>
      <c r="H32" s="56"/>
      <c r="I32" s="56"/>
      <c r="J32" s="56"/>
      <c r="K32" s="56"/>
      <c r="L32" s="56"/>
    </row>
    <row r="33" spans="1:12" hidden="1" x14ac:dyDescent="0.25">
      <c r="A33" s="201"/>
      <c r="B33" s="184" t="str">
        <f>[1]Arkusz1!K29</f>
        <v>Zaciągnięcie / spłata kredytów i pożyczek długoterminowych</v>
      </c>
      <c r="C33" s="56"/>
      <c r="D33" s="25">
        <f>'[2]założenia do prognozy'!U9</f>
        <v>0</v>
      </c>
      <c r="E33" s="25"/>
      <c r="F33" s="25"/>
      <c r="G33" s="25"/>
      <c r="H33" s="25"/>
      <c r="I33" s="25"/>
      <c r="J33" s="25"/>
      <c r="K33" s="25"/>
      <c r="L33" s="25"/>
    </row>
    <row r="34" spans="1:12" x14ac:dyDescent="0.25">
      <c r="A34" s="201"/>
      <c r="B34" s="602" t="s">
        <v>434</v>
      </c>
      <c r="C34" s="56"/>
      <c r="D34" s="603">
        <f>IF($D$31=0,0,-'POŻYCZKA I'!I43-'POŻYCZKA II'!I43)</f>
        <v>0</v>
      </c>
      <c r="E34" s="603">
        <f>IF($D$31=0,-'POŻYCZKA I'!I43-'POŻYCZKA II'!I43,-'POŻYCZKA I'!I55-'POŻYCZKA II'!I55)</f>
        <v>0</v>
      </c>
      <c r="F34" s="603">
        <f>IF($D$31=0,-'POŻYCZKA I'!I55-'POŻYCZKA II'!I55,-'POŻYCZKA I'!I67-'POŻYCZKA II'!I67)</f>
        <v>0</v>
      </c>
      <c r="G34" s="56">
        <f>IF($D$31=0,-'POŻYCZKA I'!I67,-'POŻYCZKA I'!I79)</f>
        <v>0</v>
      </c>
      <c r="H34" s="56">
        <f>IF($D$31=0,-'POŻYCZKA I'!I79,-'POŻYCZKA I'!I91)</f>
        <v>0</v>
      </c>
      <c r="I34" s="56">
        <f>IF($D$31=0,-'POŻYCZKA I'!I91,-'POŻYCZKA I'!I103)</f>
        <v>0</v>
      </c>
      <c r="J34" s="56">
        <f>IF($D$31=0,-'POŻYCZKA I'!I103,-'POŻYCZKA I'!I115)</f>
        <v>0</v>
      </c>
      <c r="K34" s="56">
        <f>IF($D$31=0,-'POŻYCZKA I'!I115,-'POŻYCZKA I'!I127)</f>
        <v>0</v>
      </c>
      <c r="L34" s="56">
        <f>IF($D$31=0,-'POŻYCZKA I'!JI127,-'POŻYCZKA I'!I139)</f>
        <v>0</v>
      </c>
    </row>
    <row r="35" spans="1:12" x14ac:dyDescent="0.25">
      <c r="A35" s="201"/>
      <c r="B35" s="602" t="s">
        <v>435</v>
      </c>
      <c r="C35" s="56">
        <f>'plan sprzedaży i zakupów '!B25</f>
        <v>0</v>
      </c>
      <c r="D35" s="56">
        <f>'plan sprzedaży i zakupów '!C25</f>
        <v>0</v>
      </c>
      <c r="E35" s="56">
        <f>'plan sprzedaży i zakupów '!D25</f>
        <v>0</v>
      </c>
      <c r="F35" s="56">
        <f>'plan sprzedaży i zakupów '!E25</f>
        <v>0</v>
      </c>
      <c r="G35" s="56">
        <f>'plan sprzedaży i zakupów '!F25</f>
        <v>0</v>
      </c>
      <c r="H35" s="56">
        <f>'plan sprzedaży i zakupów '!G25</f>
        <v>0</v>
      </c>
      <c r="I35" s="56">
        <f>'plan sprzedaży i zakupów '!H25</f>
        <v>0</v>
      </c>
      <c r="J35" s="56">
        <f>'plan sprzedaży i zakupów '!I25</f>
        <v>0</v>
      </c>
      <c r="K35" s="56">
        <f>'plan sprzedaży i zakupów '!J25</f>
        <v>0</v>
      </c>
      <c r="L35" s="56">
        <f>'plan sprzedaży i zakupów '!K25</f>
        <v>0</v>
      </c>
    </row>
    <row r="36" spans="1:12" x14ac:dyDescent="0.25">
      <c r="A36" s="201"/>
      <c r="B36" s="184" t="s">
        <v>352</v>
      </c>
      <c r="C36" s="56">
        <f>'plan sprzedaży i zakupów '!B27</f>
        <v>0</v>
      </c>
      <c r="D36" s="56">
        <f>'plan sprzedaży i zakupów '!C27</f>
        <v>0</v>
      </c>
      <c r="E36" s="56">
        <f>'plan sprzedaży i zakupów '!D27</f>
        <v>0</v>
      </c>
      <c r="F36" s="56">
        <f>'plan sprzedaży i zakupów '!E27</f>
        <v>0</v>
      </c>
      <c r="G36" s="56">
        <f>'plan sprzedaży i zakupów '!F27</f>
        <v>0</v>
      </c>
      <c r="H36" s="56">
        <f>'plan sprzedaży i zakupów '!G27</f>
        <v>0</v>
      </c>
      <c r="I36" s="56">
        <f>'plan sprzedaży i zakupów '!H27</f>
        <v>0</v>
      </c>
      <c r="J36" s="56">
        <f>'plan sprzedaży i zakupów '!I27</f>
        <v>0</v>
      </c>
      <c r="K36" s="56">
        <f>'plan sprzedaży i zakupów '!J27</f>
        <v>0</v>
      </c>
      <c r="L36" s="56">
        <f>'plan sprzedaży i zakupów '!K27</f>
        <v>0</v>
      </c>
    </row>
    <row r="37" spans="1:12" ht="15.75" thickBot="1" x14ac:dyDescent="0.3">
      <c r="A37" s="201"/>
      <c r="B37" s="184" t="s">
        <v>79</v>
      </c>
      <c r="C37" s="56">
        <f>'plan sprzedaży i zakupów '!B28</f>
        <v>0</v>
      </c>
      <c r="D37" s="56">
        <f>'plan sprzedaży i zakupów '!C28</f>
        <v>0</v>
      </c>
      <c r="E37" s="56">
        <f>'plan sprzedaży i zakupów '!D28</f>
        <v>0</v>
      </c>
      <c r="F37" s="56">
        <f>'plan sprzedaży i zakupów '!E28</f>
        <v>0</v>
      </c>
      <c r="G37" s="56">
        <f>'plan sprzedaży i zakupów '!F28</f>
        <v>0</v>
      </c>
      <c r="H37" s="56">
        <f>'plan sprzedaży i zakupów '!G28</f>
        <v>0</v>
      </c>
      <c r="I37" s="56">
        <f>'plan sprzedaży i zakupów '!H28</f>
        <v>0</v>
      </c>
      <c r="J37" s="56">
        <f>'plan sprzedaży i zakupów '!I28</f>
        <v>0</v>
      </c>
      <c r="K37" s="56">
        <f>'plan sprzedaży i zakupów '!J28</f>
        <v>0</v>
      </c>
      <c r="L37" s="56">
        <f>'plan sprzedaży i zakupów '!K28</f>
        <v>0</v>
      </c>
    </row>
    <row r="38" spans="1:12" hidden="1" x14ac:dyDescent="0.25">
      <c r="A38" s="201"/>
      <c r="B38" s="184" t="str">
        <f>[1]Arkusz1!K32</f>
        <v>Inne wypłaty z zysku netto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1:12" ht="15.75" hidden="1" thickBot="1" x14ac:dyDescent="0.3">
      <c r="A39" s="201"/>
      <c r="B39" s="184" t="s">
        <v>78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2" ht="15.75" thickBot="1" x14ac:dyDescent="0.3">
      <c r="A40" s="202" t="s">
        <v>23</v>
      </c>
      <c r="B40" s="186" t="str">
        <f>[1]Arkusz1!K34</f>
        <v>Przepływy z działalności finansowej</v>
      </c>
      <c r="C40" s="50">
        <f>C23+C24+C28+C30+C36-C37+C39</f>
        <v>0</v>
      </c>
      <c r="D40" s="50">
        <f>D23+D24+D28+D30+D36+D37+D39</f>
        <v>0</v>
      </c>
      <c r="E40" s="50">
        <f t="shared" ref="E40:L40" si="5">E23+E24+E28+E30+E36+E37+E39</f>
        <v>0</v>
      </c>
      <c r="F40" s="50">
        <f t="shared" si="5"/>
        <v>0</v>
      </c>
      <c r="G40" s="50">
        <f t="shared" si="5"/>
        <v>0</v>
      </c>
      <c r="H40" s="50">
        <f t="shared" si="5"/>
        <v>0</v>
      </c>
      <c r="I40" s="50">
        <f t="shared" si="5"/>
        <v>0</v>
      </c>
      <c r="J40" s="50">
        <f t="shared" si="5"/>
        <v>0</v>
      </c>
      <c r="K40" s="50">
        <f t="shared" si="5"/>
        <v>0</v>
      </c>
      <c r="L40" s="50">
        <f t="shared" si="5"/>
        <v>0</v>
      </c>
    </row>
    <row r="41" spans="1:12" ht="15.75" thickBot="1" x14ac:dyDescent="0.3">
      <c r="A41" s="187"/>
      <c r="B41" s="187" t="str">
        <f>[1]Arkusz1!K35</f>
        <v>Działalność Inwestycyjna</v>
      </c>
      <c r="C41" s="27"/>
      <c r="D41" s="27"/>
      <c r="E41" s="27"/>
      <c r="F41" s="188"/>
      <c r="G41" s="27"/>
      <c r="H41" s="27"/>
      <c r="I41" s="27"/>
      <c r="J41" s="27"/>
      <c r="K41" s="27"/>
      <c r="L41" s="188"/>
    </row>
    <row r="42" spans="1:12" x14ac:dyDescent="0.25">
      <c r="A42" s="203"/>
      <c r="B42" s="189" t="s">
        <v>73</v>
      </c>
      <c r="C42" s="208">
        <f>KPIR!D28</f>
        <v>0</v>
      </c>
      <c r="D42" s="208">
        <f>'plan sprzedaży i zakupów '!C22</f>
        <v>0</v>
      </c>
      <c r="E42" s="208"/>
      <c r="F42" s="208"/>
      <c r="G42" s="208"/>
      <c r="H42" s="208"/>
      <c r="I42" s="208"/>
      <c r="J42" s="208"/>
      <c r="K42" s="208"/>
      <c r="L42" s="208"/>
    </row>
    <row r="43" spans="1:12" ht="15.75" thickBot="1" x14ac:dyDescent="0.3">
      <c r="A43" s="203"/>
      <c r="B43" s="189" t="s">
        <v>72</v>
      </c>
      <c r="C43" s="208">
        <f>-'Parametry nakładów i pożyczki'!C44</f>
        <v>0</v>
      </c>
      <c r="D43" s="208">
        <f>-'Parametry nakładów i pożyczki'!C22</f>
        <v>0</v>
      </c>
      <c r="E43" s="208"/>
      <c r="F43" s="208"/>
      <c r="G43" s="208"/>
      <c r="H43" s="208"/>
      <c r="I43" s="208"/>
      <c r="J43" s="208"/>
      <c r="K43" s="208"/>
      <c r="L43" s="208"/>
    </row>
    <row r="44" spans="1:12" ht="15.75" hidden="1" thickBot="1" x14ac:dyDescent="0.3">
      <c r="A44" s="203"/>
      <c r="B44" s="189" t="str">
        <f>[1]Arkusz1!K39</f>
        <v xml:space="preserve">Inne zmiany  aktywów trwałych 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2" ht="15.75" hidden="1" thickBot="1" x14ac:dyDescent="0.3">
      <c r="A45" s="203"/>
      <c r="B45" s="190" t="str">
        <f>[1]Arkusz1!K40</f>
        <v>Dywidendy i udziały w zyskach</v>
      </c>
      <c r="C45" s="25"/>
      <c r="D45" s="25">
        <f>C45</f>
        <v>0</v>
      </c>
      <c r="E45" s="25">
        <f t="shared" ref="E45:F45" si="6">D45</f>
        <v>0</v>
      </c>
      <c r="F45" s="25">
        <f t="shared" si="6"/>
        <v>0</v>
      </c>
      <c r="G45" s="25">
        <f>F45</f>
        <v>0</v>
      </c>
      <c r="H45" s="25">
        <f>G45</f>
        <v>0</v>
      </c>
      <c r="I45" s="25">
        <f>H45</f>
        <v>0</v>
      </c>
      <c r="J45" s="25">
        <f>I45</f>
        <v>0</v>
      </c>
      <c r="K45" s="25">
        <f>J45</f>
        <v>0</v>
      </c>
      <c r="L45" s="25">
        <f t="shared" ref="L45" si="7">K45</f>
        <v>0</v>
      </c>
    </row>
    <row r="46" spans="1:12" ht="15.75" hidden="1" thickBot="1" x14ac:dyDescent="0.3">
      <c r="A46" s="203"/>
      <c r="B46" s="189" t="str">
        <f>[1]Arkusz1!K41</f>
        <v>Inne</v>
      </c>
      <c r="C46" s="41"/>
      <c r="D46" s="25"/>
      <c r="E46" s="25"/>
      <c r="F46" s="25"/>
      <c r="G46" s="25"/>
      <c r="H46" s="25"/>
      <c r="I46" s="25"/>
      <c r="J46" s="25"/>
      <c r="K46" s="25"/>
      <c r="L46" s="25"/>
    </row>
    <row r="47" spans="1:12" ht="15.75" thickBot="1" x14ac:dyDescent="0.3">
      <c r="A47" s="204" t="s">
        <v>28</v>
      </c>
      <c r="B47" s="191" t="str">
        <f>[1]Arkusz1!K42</f>
        <v>Przepływy z działalności inwestycyjnej</v>
      </c>
      <c r="C47" s="28">
        <f t="shared" ref="C47:L47" si="8">SUM(C42:C46)</f>
        <v>0</v>
      </c>
      <c r="D47" s="28">
        <f t="shared" si="8"/>
        <v>0</v>
      </c>
      <c r="E47" s="28">
        <f t="shared" si="8"/>
        <v>0</v>
      </c>
      <c r="F47" s="28">
        <f t="shared" si="8"/>
        <v>0</v>
      </c>
      <c r="G47" s="28">
        <f t="shared" si="8"/>
        <v>0</v>
      </c>
      <c r="H47" s="28">
        <f t="shared" si="8"/>
        <v>0</v>
      </c>
      <c r="I47" s="28">
        <f t="shared" si="8"/>
        <v>0</v>
      </c>
      <c r="J47" s="28">
        <f t="shared" si="8"/>
        <v>0</v>
      </c>
      <c r="K47" s="28">
        <f t="shared" si="8"/>
        <v>0</v>
      </c>
      <c r="L47" s="28">
        <f t="shared" si="8"/>
        <v>0</v>
      </c>
    </row>
    <row r="48" spans="1:12" ht="15.75" thickBot="1" x14ac:dyDescent="0.3">
      <c r="A48" s="205" t="s">
        <v>29</v>
      </c>
      <c r="B48" s="192" t="str">
        <f>[1]Arkusz1!K43</f>
        <v>Przepływy pieniężne ogółem (A+B+C)</v>
      </c>
      <c r="C48" s="29">
        <f>SUM(C21,C40,C47)</f>
        <v>0</v>
      </c>
      <c r="D48" s="29">
        <f>SUM(D21,D40,D47)</f>
        <v>0</v>
      </c>
      <c r="E48" s="29">
        <f t="shared" ref="E48:L48" si="9">SUM(E21,E40,E47)</f>
        <v>0</v>
      </c>
      <c r="F48" s="29">
        <f t="shared" si="9"/>
        <v>0</v>
      </c>
      <c r="G48" s="29">
        <f t="shared" si="9"/>
        <v>0</v>
      </c>
      <c r="H48" s="29">
        <f t="shared" si="9"/>
        <v>0</v>
      </c>
      <c r="I48" s="29">
        <f t="shared" si="9"/>
        <v>0</v>
      </c>
      <c r="J48" s="29">
        <f t="shared" si="9"/>
        <v>0</v>
      </c>
      <c r="K48" s="29">
        <f t="shared" si="9"/>
        <v>0</v>
      </c>
      <c r="L48" s="29">
        <f t="shared" si="9"/>
        <v>0</v>
      </c>
    </row>
    <row r="49" spans="1:12" ht="15.75" thickBot="1" x14ac:dyDescent="0.3">
      <c r="A49" s="206" t="s">
        <v>30</v>
      </c>
      <c r="B49" s="193" t="str">
        <f>[1]Arkusz1!K44</f>
        <v>Środki pieniężne na początek okresu</v>
      </c>
      <c r="C49" s="30"/>
      <c r="D49" s="30">
        <f>C50</f>
        <v>0</v>
      </c>
      <c r="E49" s="30">
        <f t="shared" ref="E49:L49" si="10">D50</f>
        <v>0</v>
      </c>
      <c r="F49" s="30">
        <f t="shared" si="10"/>
        <v>0</v>
      </c>
      <c r="G49" s="30">
        <f t="shared" si="10"/>
        <v>0</v>
      </c>
      <c r="H49" s="30">
        <f t="shared" si="10"/>
        <v>0</v>
      </c>
      <c r="I49" s="30">
        <f t="shared" si="10"/>
        <v>0</v>
      </c>
      <c r="J49" s="30">
        <f t="shared" si="10"/>
        <v>0</v>
      </c>
      <c r="K49" s="30">
        <f t="shared" si="10"/>
        <v>0</v>
      </c>
      <c r="L49" s="30">
        <f t="shared" si="10"/>
        <v>0</v>
      </c>
    </row>
    <row r="50" spans="1:12" x14ac:dyDescent="0.25">
      <c r="A50" s="207" t="s">
        <v>31</v>
      </c>
      <c r="B50" s="194" t="str">
        <f>[1]Arkusz1!K45</f>
        <v>Środki pieniężne na koniec okresu</v>
      </c>
      <c r="C50" s="195">
        <f>bilans!C62</f>
        <v>0</v>
      </c>
      <c r="D50" s="195">
        <f>D48+D49</f>
        <v>0</v>
      </c>
      <c r="E50" s="195">
        <f t="shared" ref="E50:L50" si="11">E48+E49</f>
        <v>0</v>
      </c>
      <c r="F50" s="195">
        <f t="shared" si="11"/>
        <v>0</v>
      </c>
      <c r="G50" s="195">
        <f t="shared" si="11"/>
        <v>0</v>
      </c>
      <c r="H50" s="195">
        <f t="shared" si="11"/>
        <v>0</v>
      </c>
      <c r="I50" s="195">
        <f t="shared" si="11"/>
        <v>0</v>
      </c>
      <c r="J50" s="195">
        <f t="shared" si="11"/>
        <v>0</v>
      </c>
      <c r="K50" s="195">
        <f t="shared" si="11"/>
        <v>0</v>
      </c>
      <c r="L50" s="195">
        <f t="shared" si="11"/>
        <v>0</v>
      </c>
    </row>
    <row r="51" spans="1:12" x14ac:dyDescent="0.25">
      <c r="C51" s="58"/>
    </row>
    <row r="52" spans="1:12" x14ac:dyDescent="0.25">
      <c r="C52" s="307">
        <f>C48-wskaźniki!B27</f>
        <v>0</v>
      </c>
      <c r="D52" s="307">
        <f>D48-wskaźniki!C27</f>
        <v>0</v>
      </c>
      <c r="E52" s="307">
        <f>E48-wskaźniki!D27</f>
        <v>0</v>
      </c>
      <c r="F52" s="307">
        <f>F48-wskaźniki!E27</f>
        <v>0</v>
      </c>
      <c r="G52" s="307">
        <f>G48-wskaźniki!F27</f>
        <v>0</v>
      </c>
      <c r="H52" s="307">
        <f>H48-wskaźniki!G27</f>
        <v>0</v>
      </c>
      <c r="I52" s="307">
        <f>I48-wskaźniki!H27</f>
        <v>0</v>
      </c>
      <c r="J52" s="307">
        <f>J48-wskaźniki!I27</f>
        <v>0</v>
      </c>
      <c r="K52" s="307">
        <f>K48-wskaźniki!J27</f>
        <v>0</v>
      </c>
      <c r="L52" s="307">
        <f>L48-wskaźniki!K27</f>
        <v>0</v>
      </c>
    </row>
    <row r="54" spans="1:12" x14ac:dyDescent="0.25">
      <c r="D54" s="58"/>
      <c r="E54" s="58"/>
      <c r="F54" s="58"/>
      <c r="G54" s="58"/>
      <c r="H54" s="58"/>
      <c r="I54" s="58"/>
      <c r="J54" s="58"/>
      <c r="K54" s="58"/>
      <c r="L54" s="58"/>
    </row>
  </sheetData>
  <sheetProtection sheet="1" objects="1" scenarios="1"/>
  <pageMargins left="0.31496062992125984" right="0.11811023622047245" top="0.35433070866141736" bottom="0.19685039370078741" header="0.31496062992125984" footer="0.31496062992125984"/>
  <pageSetup scale="80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9"/>
  <sheetViews>
    <sheetView showGridLines="0" zoomScale="172" zoomScaleNormal="172" zoomScaleSheetLayoutView="166" workbookViewId="0">
      <selection activeCell="U26" sqref="U26"/>
    </sheetView>
  </sheetViews>
  <sheetFormatPr defaultRowHeight="15" x14ac:dyDescent="0.25"/>
  <cols>
    <col min="1" max="1" width="56.85546875" customWidth="1"/>
    <col min="2" max="2" width="9.140625" customWidth="1"/>
    <col min="3" max="3" width="10.5703125" customWidth="1"/>
    <col min="4" max="4" width="9.85546875" bestFit="1" customWidth="1"/>
    <col min="5" max="5" width="9.85546875" customWidth="1"/>
    <col min="6" max="6" width="9.28515625" hidden="1" customWidth="1"/>
    <col min="7" max="9" width="9.42578125" hidden="1" customWidth="1"/>
    <col min="10" max="11" width="9.28515625" hidden="1" customWidth="1"/>
    <col min="12" max="12" width="14.28515625" hidden="1" customWidth="1"/>
    <col min="13" max="14" width="22" hidden="1" customWidth="1"/>
    <col min="15" max="15" width="14.85546875" hidden="1" customWidth="1"/>
    <col min="16" max="16" width="13.140625" hidden="1" customWidth="1"/>
    <col min="17" max="17" width="9.140625" hidden="1" customWidth="1"/>
    <col min="18" max="18" width="9.5703125" hidden="1" customWidth="1"/>
    <col min="19" max="19" width="9.140625" customWidth="1"/>
  </cols>
  <sheetData>
    <row r="1" spans="1:16" s="16" customFormat="1" ht="13.5" thickBot="1" x14ac:dyDescent="0.25">
      <c r="A1" s="140" t="s">
        <v>43</v>
      </c>
      <c r="B1" s="141">
        <f>KPIR!T6</f>
        <v>2024</v>
      </c>
      <c r="C1" s="141">
        <f>B1+1</f>
        <v>2025</v>
      </c>
      <c r="D1" s="141">
        <f t="shared" ref="D1:E1" si="0">C1+1</f>
        <v>2026</v>
      </c>
      <c r="E1" s="141">
        <f t="shared" si="0"/>
        <v>2027</v>
      </c>
      <c r="F1" s="141" t="s">
        <v>59</v>
      </c>
      <c r="G1" s="141" t="s">
        <v>60</v>
      </c>
      <c r="H1" s="141" t="s">
        <v>301</v>
      </c>
      <c r="I1" s="141" t="s">
        <v>302</v>
      </c>
      <c r="J1" s="141" t="s">
        <v>303</v>
      </c>
      <c r="K1" s="141" t="s">
        <v>304</v>
      </c>
    </row>
    <row r="2" spans="1:16" s="16" customFormat="1" ht="12.75" hidden="1" x14ac:dyDescent="0.2">
      <c r="A2" s="142" t="s">
        <v>44</v>
      </c>
      <c r="B2" s="31">
        <f>'[2] bilans '!E4/'[2] bilans '!E22</f>
        <v>5.3802775116670528E-4</v>
      </c>
      <c r="C2" s="32">
        <f>'[2] bilans '!E4/'[2] bilans '!E22</f>
        <v>5.3802775116670528E-4</v>
      </c>
      <c r="D2" s="32">
        <f>'[2] bilans '!F4/'[2] bilans '!F22</f>
        <v>2.2539680547490533E-4</v>
      </c>
      <c r="E2" s="32">
        <f>'[2] bilans '!G4/'[2] bilans '!G22</f>
        <v>1.2818986354138384E-4</v>
      </c>
      <c r="F2" s="32">
        <f>'[2] bilans '!H4/'[2] bilans '!H22</f>
        <v>1.1333623656177414E-4</v>
      </c>
      <c r="G2" s="32">
        <f>'[2] bilans '!I4/'[2] bilans '!I22</f>
        <v>1.1153285907093063E-4</v>
      </c>
      <c r="H2" s="43">
        <f>'[2] bilans '!J4/'[2] bilans '!J22</f>
        <v>1.0977399805934273E-4</v>
      </c>
      <c r="I2" s="42">
        <f>'[2] bilans '!K4/'[2] bilans '!K22</f>
        <v>1.0648825771837067E-4</v>
      </c>
      <c r="J2" s="33">
        <f>'[2] bilans '!L4/'[2] bilans '!L22</f>
        <v>1.1535190206579261E-4</v>
      </c>
      <c r="K2" s="143"/>
      <c r="L2" s="568"/>
      <c r="M2" s="568"/>
      <c r="N2" s="568"/>
      <c r="O2" s="568"/>
    </row>
    <row r="3" spans="1:16" s="16" customFormat="1" ht="12.75" hidden="1" x14ac:dyDescent="0.2">
      <c r="A3" s="144" t="s">
        <v>45</v>
      </c>
      <c r="B3" s="31">
        <f>'[2] bilans '!E4/'[2] bilans '!E11</f>
        <v>5.3831738085654147E-4</v>
      </c>
      <c r="C3" s="35">
        <f>'[2] bilans '!E4/'[2] bilans '!E11</f>
        <v>5.3831738085654147E-4</v>
      </c>
      <c r="D3" s="35">
        <f>'[2] bilans '!F4/'[2] bilans '!F11</f>
        <v>2.2544762064840139E-4</v>
      </c>
      <c r="E3" s="35">
        <f>'[2] bilans '!G4/'[2] bilans '!G11</f>
        <v>1.2820629828926667E-4</v>
      </c>
      <c r="F3" s="35">
        <f>'[2] bilans '!H4/'[2] bilans '!H11</f>
        <v>1.1334908312027271E-4</v>
      </c>
      <c r="G3" s="35">
        <f>'[2] bilans '!I4/'[2] bilans '!I11</f>
        <v>1.1154530003715969E-4</v>
      </c>
      <c r="H3" s="44">
        <f>'[2] bilans '!J4/'[2] bilans '!J11</f>
        <v>1.0978604971295086E-4</v>
      </c>
      <c r="I3" s="34">
        <f>'[2] bilans '!K4/'[2] bilans '!K11</f>
        <v>1.0649959867508128E-4</v>
      </c>
      <c r="J3" s="36">
        <f>'[2] bilans '!L4/'[2] bilans '!L11</f>
        <v>1.1536520966215937E-4</v>
      </c>
      <c r="K3" s="143"/>
      <c r="L3" s="568"/>
      <c r="M3" s="568"/>
      <c r="N3" s="568"/>
      <c r="O3" s="568"/>
    </row>
    <row r="4" spans="1:16" s="16" customFormat="1" ht="3.75" customHeight="1" x14ac:dyDescent="0.2">
      <c r="A4" s="145"/>
      <c r="B4" s="45"/>
      <c r="C4" s="45"/>
      <c r="D4" s="45"/>
      <c r="E4" s="45"/>
      <c r="F4" s="45"/>
      <c r="G4" s="45"/>
      <c r="H4" s="45"/>
      <c r="I4" s="45"/>
      <c r="J4" s="46"/>
      <c r="K4" s="143"/>
      <c r="L4" s="568"/>
      <c r="M4" s="568"/>
      <c r="N4" s="568"/>
      <c r="O4" s="568"/>
      <c r="P4" s="16" t="s">
        <v>411</v>
      </c>
    </row>
    <row r="5" spans="1:16" s="16" customFormat="1" ht="20.100000000000001" customHeight="1" x14ac:dyDescent="0.2">
      <c r="A5" s="209" t="s">
        <v>46</v>
      </c>
      <c r="B5" s="31" t="e">
        <f>bilans!C83/bilans!C93</f>
        <v>#DIV/0!</v>
      </c>
      <c r="C5" s="31" t="e">
        <f>bilans!D83/bilans!D93</f>
        <v>#DIV/0!</v>
      </c>
      <c r="D5" s="31" t="e">
        <f>bilans!E83/bilans!E93</f>
        <v>#DIV/0!</v>
      </c>
      <c r="E5" s="31" t="e">
        <f>bilans!F83/bilans!F93</f>
        <v>#DIV/0!</v>
      </c>
      <c r="F5" s="31" t="e">
        <f>bilans!G83/bilans!G93</f>
        <v>#DIV/0!</v>
      </c>
      <c r="G5" s="31" t="e">
        <f>bilans!H83/bilans!H93</f>
        <v>#DIV/0!</v>
      </c>
      <c r="H5" s="31" t="e">
        <f>bilans!I83/bilans!I93</f>
        <v>#DIV/0!</v>
      </c>
      <c r="I5" s="31" t="e">
        <f>bilans!J83/bilans!J93</f>
        <v>#DIV/0!</v>
      </c>
      <c r="J5" s="210" t="e">
        <f>bilans!K83/bilans!K93</f>
        <v>#DIV/0!</v>
      </c>
      <c r="K5" s="211" t="e">
        <f>bilans!L83/bilans!L93</f>
        <v>#DIV/0!</v>
      </c>
      <c r="L5" s="16" t="e">
        <f>IF($D$5&lt;$M$31,$M$37,0)</f>
        <v>#DIV/0!</v>
      </c>
      <c r="M5" s="16" t="e">
        <f>IF(AND($D$5&gt;=$M$31,$D$5&lt;$N$31),$N$37,0)</f>
        <v>#DIV/0!</v>
      </c>
      <c r="N5" s="16" t="e">
        <f>IF(AND($D$5&gt;=$N$31,$D$5&lt;$O$31),$O$37,0)</f>
        <v>#DIV/0!</v>
      </c>
      <c r="O5" s="16" t="e">
        <f>IF($D$5&gt;=$O$31,$P$37,0)</f>
        <v>#DIV/0!</v>
      </c>
      <c r="P5" s="16" t="e">
        <f>$Q$31*(L5+M5+N5+O5)</f>
        <v>#DIV/0!</v>
      </c>
    </row>
    <row r="6" spans="1:16" s="16" customFormat="1" ht="12.75" hidden="1" x14ac:dyDescent="0.2">
      <c r="A6" s="212" t="s">
        <v>47</v>
      </c>
      <c r="B6" s="31">
        <f>'[2] bilans '!E24/'[2] bilans '!E4</f>
        <v>1374.8123670226123</v>
      </c>
      <c r="C6" s="35">
        <f>'[2] bilans '!E24/'[2] bilans '!E4</f>
        <v>1374.8123670226123</v>
      </c>
      <c r="D6" s="35">
        <f>'[2] bilans '!F24/'[2] bilans '!F4</f>
        <v>2182.933446939544</v>
      </c>
      <c r="E6" s="35">
        <f>'[2] bilans '!G24/'[2] bilans '!G4</f>
        <v>3112.3835469982596</v>
      </c>
      <c r="F6" s="35">
        <f>'[2] bilans '!H24/'[2] bilans '!H4</f>
        <v>3451.7249211141043</v>
      </c>
      <c r="G6" s="35">
        <f>'[2] bilans '!I24/'[2] bilans '!I4</f>
        <v>3843.7446223622796</v>
      </c>
      <c r="H6" s="44">
        <f>'[2] bilans '!J24/'[2] bilans '!J4</f>
        <v>4301.9879762782675</v>
      </c>
      <c r="I6" s="34">
        <f>'[2] bilans '!K24/'[2] bilans '!K4</f>
        <v>4834.3033526158715</v>
      </c>
      <c r="J6" s="44">
        <f>'[2] bilans '!L24/'[2] bilans '!L4</f>
        <v>4831.227364160075</v>
      </c>
      <c r="K6" s="213">
        <f>'[2] bilans '!M24/'[2] bilans '!M4</f>
        <v>4809.0316833503084</v>
      </c>
    </row>
    <row r="7" spans="1:16" s="16" customFormat="1" ht="12.75" hidden="1" x14ac:dyDescent="0.2">
      <c r="A7" s="212" t="s">
        <v>48</v>
      </c>
      <c r="B7" s="31">
        <f>'[2]BILANS szczegółowy'!D93/'[2]BILANS szczegółowy'!D41</f>
        <v>0.86044772902596511</v>
      </c>
      <c r="C7" s="31">
        <f>'[2]BILANS szczegółowy'!E93/'[2]BILANS szczegółowy'!E41</f>
        <v>2.22546764362751</v>
      </c>
      <c r="D7" s="31">
        <f>'[2]BILANS szczegółowy'!F93/'[2]BILANS szczegółowy'!F41</f>
        <v>4.3185787225517824</v>
      </c>
      <c r="E7" s="31">
        <f>'[2]BILANS szczegółowy'!G93/'[2]BILANS szczegółowy'!G41</f>
        <v>4.8279028500548584</v>
      </c>
      <c r="F7" s="31">
        <f>'[2]BILANS szczegółowy'!H93/'[2]BILANS szczegółowy'!H41</f>
        <v>3.8205003770242016</v>
      </c>
      <c r="G7" s="31">
        <f>'[2]BILANS szczegółowy'!I93/'[2]BILANS szczegółowy'!I41</f>
        <v>2.9372843177522494</v>
      </c>
      <c r="H7" s="31">
        <f>'[2]BILANS szczegółowy'!J93/'[2]BILANS szczegółowy'!J41</f>
        <v>2.3511039254659365</v>
      </c>
      <c r="I7" s="31">
        <f>'[2]BILANS szczegółowy'!K93/'[2]BILANS szczegółowy'!K41</f>
        <v>1.9193891499025733</v>
      </c>
      <c r="J7" s="31">
        <f>'[2]BILANS szczegółowy'!L93/'[2]BILANS szczegółowy'!L41</f>
        <v>1.5778079918037742</v>
      </c>
      <c r="K7" s="214">
        <f>'[2]BILANS szczegółowy'!M93/'[2]BILANS szczegółowy'!M41</f>
        <v>1.7162526450021263</v>
      </c>
    </row>
    <row r="8" spans="1:16" s="16" customFormat="1" ht="12.75" hidden="1" x14ac:dyDescent="0.2">
      <c r="A8" s="215" t="s">
        <v>49</v>
      </c>
      <c r="B8" s="31">
        <f>('[2] bilans '!E24+'[2] bilans '!E29)/'[2] bilans '!E4</f>
        <v>1374.8123670226123</v>
      </c>
      <c r="C8" s="216">
        <f>('[2] bilans '!E24+'[2] bilans '!E29)/'[2] bilans '!E4</f>
        <v>1374.8123670226123</v>
      </c>
      <c r="D8" s="216">
        <f>('[2] bilans '!F24+'[2] bilans '!F29)/'[2] bilans '!F4</f>
        <v>2182.933446939544</v>
      </c>
      <c r="E8" s="216">
        <f>('[2] bilans '!G24+'[2] bilans '!G29)/'[2] bilans '!G4</f>
        <v>3112.3835469982596</v>
      </c>
      <c r="F8" s="216">
        <f>('[2] bilans '!H24+'[2] bilans '!H29)/'[2] bilans '!H4</f>
        <v>3451.7249211141043</v>
      </c>
      <c r="G8" s="216">
        <f>('[2] bilans '!I24+'[2] bilans '!I29)/'[2] bilans '!I4</f>
        <v>3843.7446223622796</v>
      </c>
      <c r="H8" s="217">
        <f>('[2] bilans '!J24+'[2] bilans '!J29)/'[2] bilans '!J4</f>
        <v>4301.9879762782675</v>
      </c>
      <c r="I8" s="218">
        <f>('[2] bilans '!K24+'[2] bilans '!K29)/'[2] bilans '!K4</f>
        <v>4834.3033526158715</v>
      </c>
      <c r="J8" s="217">
        <f>('[2] bilans '!L24+'[2] bilans '!L29)/'[2] bilans '!L4</f>
        <v>4831.227364160075</v>
      </c>
      <c r="K8" s="219">
        <f>('[2] bilans '!M24+'[2] bilans '!M29)/'[2] bilans '!M4</f>
        <v>4809.0316833503084</v>
      </c>
    </row>
    <row r="9" spans="1:16" s="16" customFormat="1" ht="4.5" customHeight="1" x14ac:dyDescent="0.2">
      <c r="A9" s="220"/>
      <c r="B9" s="221"/>
      <c r="C9" s="222"/>
      <c r="D9" s="222"/>
      <c r="E9" s="222"/>
      <c r="F9" s="222"/>
      <c r="G9" s="222"/>
      <c r="H9" s="222"/>
      <c r="I9" s="222"/>
      <c r="J9" s="222"/>
      <c r="K9" s="223"/>
    </row>
    <row r="10" spans="1:16" s="16" customFormat="1" ht="12.75" hidden="1" x14ac:dyDescent="0.2">
      <c r="A10" s="224" t="s">
        <v>50</v>
      </c>
      <c r="B10" s="225">
        <f>'[2]BILANS szczegółowy'!D102/'[2]BILANS szczegółowy'!D83</f>
        <v>0.71999932971847458</v>
      </c>
      <c r="C10" s="225">
        <f>'[2]BILANS szczegółowy'!E102/'[2]BILANS szczegółowy'!E83</f>
        <v>1.3026041885368915</v>
      </c>
      <c r="D10" s="225">
        <f>'[2]BILANS szczegółowy'!F102/'[2]BILANS szczegółowy'!F83</f>
        <v>1.7335183299037529</v>
      </c>
      <c r="E10" s="225">
        <f>'[2]BILANS szczegółowy'!G102/'[2]BILANS szczegółowy'!G83</f>
        <v>1.7789183940854372</v>
      </c>
      <c r="F10" s="225">
        <f>'[2]BILANS szczegółowy'!H102/'[2]BILANS szczegółowy'!H83</f>
        <v>1.5518215038541576</v>
      </c>
      <c r="G10" s="225">
        <f>'[2]BILANS szczegółowy'!I102/'[2]BILANS szczegółowy'!I83</f>
        <v>1.3342038767214415</v>
      </c>
      <c r="H10" s="225">
        <f>'[2]BILANS szczegółowy'!J102/'[2]BILANS szczegółowy'!J83</f>
        <v>1.1582396501854761</v>
      </c>
      <c r="I10" s="225">
        <f>'[2]BILANS szczegółowy'!K102/'[2]BILANS szczegółowy'!K83</f>
        <v>1.0102558205172363</v>
      </c>
      <c r="J10" s="225">
        <f>'[2]BILANS szczegółowy'!L102/'[2]BILANS szczegółowy'!L83</f>
        <v>0.87349970092780516</v>
      </c>
      <c r="K10" s="226">
        <f>'[2]BILANS szczegółowy'!M102/'[2]BILANS szczegółowy'!M83</f>
        <v>0.90425162737329567</v>
      </c>
    </row>
    <row r="11" spans="1:16" s="16" customFormat="1" ht="12.75" hidden="1" x14ac:dyDescent="0.2">
      <c r="A11" s="227" t="s">
        <v>51</v>
      </c>
      <c r="B11" s="225">
        <f>'[2]BILANS szczegółowy'!D102/'[2]BILANS szczegółowy'!D5</f>
        <v>0.88615963306487477</v>
      </c>
      <c r="C11" s="225">
        <f>'[2]BILANS szczegółowy'!E102/'[2]BILANS szczegółowy'!E5</f>
        <v>0.68790744723784769</v>
      </c>
      <c r="D11" s="225">
        <f>'[2]BILANS szczegółowy'!F102/'[2]BILANS szczegółowy'!F5</f>
        <v>0.68278720137084892</v>
      </c>
      <c r="E11" s="225">
        <f>'[2]BILANS szczegółowy'!G102/'[2]BILANS szczegółowy'!G5</f>
        <v>0.67905873635178104</v>
      </c>
      <c r="F11" s="225">
        <f>'[2]BILANS szczegółowy'!H102/'[2]BILANS szczegółowy'!H5</f>
        <v>0.66391284003450612</v>
      </c>
      <c r="G11" s="225">
        <f>'[2]BILANS szczegółowy'!I102/'[2]BILANS szczegółowy'!I5</f>
        <v>0.65105591377939431</v>
      </c>
      <c r="H11" s="225">
        <f>'[2]BILANS szczegółowy'!J102/'[2]BILANS szczegółowy'!J5</f>
        <v>0.63903202820365257</v>
      </c>
      <c r="I11" s="225">
        <f>'[2]BILANS szczegółowy'!K102/'[2]BILANS szczegółowy'!K5</f>
        <v>0.62888407527027834</v>
      </c>
      <c r="J11" s="225">
        <f>'[2]BILANS szczegółowy'!L102/'[2]BILANS szczegółowy'!L5</f>
        <v>0.61775943962062174</v>
      </c>
      <c r="K11" s="226">
        <f>'[2]BILANS szczegółowy'!M102/'[2]BILANS szczegółowy'!M5</f>
        <v>0.61775943962062174</v>
      </c>
    </row>
    <row r="12" spans="1:16" s="16" customFormat="1" ht="20.100000000000001" customHeight="1" x14ac:dyDescent="0.2">
      <c r="A12" s="725" t="s">
        <v>52</v>
      </c>
      <c r="B12" s="726" t="e">
        <f>bilans!C93/bilans!C80</f>
        <v>#DIV/0!</v>
      </c>
      <c r="C12" s="726" t="e">
        <f>bilans!D93/bilans!D80</f>
        <v>#DIV/0!</v>
      </c>
      <c r="D12" s="726" t="e">
        <f>bilans!E93/bilans!E80</f>
        <v>#DIV/0!</v>
      </c>
      <c r="E12" s="726" t="e">
        <f>bilans!F93/bilans!F80</f>
        <v>#DIV/0!</v>
      </c>
      <c r="F12" s="225" t="e">
        <f>bilans!G93/bilans!G80</f>
        <v>#DIV/0!</v>
      </c>
      <c r="G12" s="225" t="e">
        <f>bilans!H93/bilans!H80</f>
        <v>#DIV/0!</v>
      </c>
      <c r="H12" s="225" t="e">
        <f>bilans!I93/bilans!I80</f>
        <v>#DIV/0!</v>
      </c>
      <c r="I12" s="225" t="e">
        <f>bilans!J93/bilans!J80</f>
        <v>#DIV/0!</v>
      </c>
      <c r="J12" s="225" t="e">
        <f>bilans!K93/bilans!K80</f>
        <v>#DIV/0!</v>
      </c>
      <c r="K12" s="226" t="e">
        <f>bilans!L93/bilans!L80</f>
        <v>#DIV/0!</v>
      </c>
    </row>
    <row r="13" spans="1:16" s="16" customFormat="1" ht="20.100000000000001" customHeight="1" x14ac:dyDescent="0.2">
      <c r="A13" s="727" t="s">
        <v>53</v>
      </c>
      <c r="B13" s="726" t="e">
        <f>bilans!C109/bilans!C93</f>
        <v>#DIV/0!</v>
      </c>
      <c r="C13" s="726" t="e">
        <f>bilans!D109/bilans!D93</f>
        <v>#DIV/0!</v>
      </c>
      <c r="D13" s="726" t="e">
        <f>bilans!E109/bilans!E93</f>
        <v>#DIV/0!</v>
      </c>
      <c r="E13" s="726" t="e">
        <f>bilans!F109/bilans!F93</f>
        <v>#DIV/0!</v>
      </c>
      <c r="F13" s="225" t="e">
        <f>bilans!G109/bilans!G93</f>
        <v>#DIV/0!</v>
      </c>
      <c r="G13" s="225" t="e">
        <f>bilans!H109/bilans!H93</f>
        <v>#DIV/0!</v>
      </c>
      <c r="H13" s="225" t="e">
        <f>bilans!I109/bilans!I93</f>
        <v>#DIV/0!</v>
      </c>
      <c r="I13" s="225" t="e">
        <f>bilans!J109/bilans!J93</f>
        <v>#DIV/0!</v>
      </c>
      <c r="J13" s="225" t="e">
        <f>bilans!K109/bilans!K93</f>
        <v>#DIV/0!</v>
      </c>
      <c r="K13" s="226" t="e">
        <f>bilans!L109/bilans!L93</f>
        <v>#DIV/0!</v>
      </c>
    </row>
    <row r="14" spans="1:16" s="16" customFormat="1" ht="12.75" hidden="1" x14ac:dyDescent="0.2">
      <c r="A14" s="228"/>
      <c r="B14" s="225"/>
      <c r="C14" s="229"/>
      <c r="D14" s="229"/>
      <c r="E14" s="229"/>
      <c r="F14" s="229"/>
      <c r="G14" s="229"/>
      <c r="H14" s="230"/>
      <c r="I14" s="231"/>
      <c r="J14" s="230"/>
      <c r="K14" s="232"/>
    </row>
    <row r="15" spans="1:16" s="16" customFormat="1" ht="12.75" hidden="1" x14ac:dyDescent="0.2">
      <c r="A15" s="228"/>
      <c r="B15" s="225"/>
      <c r="C15" s="229"/>
      <c r="D15" s="229"/>
      <c r="E15" s="229"/>
      <c r="F15" s="229"/>
      <c r="G15" s="229"/>
      <c r="H15" s="230"/>
      <c r="I15" s="231"/>
      <c r="J15" s="230"/>
      <c r="K15" s="232"/>
    </row>
    <row r="16" spans="1:16" s="16" customFormat="1" ht="3.75" customHeight="1" x14ac:dyDescent="0.2">
      <c r="A16" s="220"/>
      <c r="B16" s="221"/>
      <c r="C16" s="222"/>
      <c r="D16" s="222"/>
      <c r="E16" s="222"/>
      <c r="F16" s="222"/>
      <c r="G16" s="222"/>
      <c r="H16" s="222"/>
      <c r="I16" s="222"/>
      <c r="J16" s="222"/>
      <c r="K16" s="223"/>
    </row>
    <row r="17" spans="1:17" s="16" customFormat="1" ht="20.100000000000001" customHeight="1" x14ac:dyDescent="0.2">
      <c r="A17" s="233" t="s">
        <v>64</v>
      </c>
      <c r="B17" s="234" t="e">
        <f>KPIR!D59/(KPIR!D7+KPIR!D27+KPIR!D36)</f>
        <v>#DIV/0!</v>
      </c>
      <c r="C17" s="234" t="e">
        <f>KPIR!F59/(KPIR!F7+KPIR!F27+KPIR!F36)</f>
        <v>#DIV/0!</v>
      </c>
      <c r="D17" s="234" t="e">
        <f>KPIR!G59/(KPIR!G7+KPIR!G27+KPIR!G36)</f>
        <v>#DIV/0!</v>
      </c>
      <c r="E17" s="234" t="e">
        <f>KPIR!H59/(KPIR!H7+KPIR!H27+KPIR!H36)</f>
        <v>#DIV/0!</v>
      </c>
      <c r="F17" s="234" t="e">
        <f>KPIR!I59/(KPIR!I7+KPIR!I27+KPIR!I36)</f>
        <v>#DIV/0!</v>
      </c>
      <c r="G17" s="234" t="e">
        <f>KPIR!J59/(KPIR!J7+KPIR!J27+KPIR!J36)</f>
        <v>#DIV/0!</v>
      </c>
      <c r="H17" s="234" t="e">
        <f>KPIR!K59/(KPIR!K7+KPIR!K27+KPIR!K36)</f>
        <v>#DIV/0!</v>
      </c>
      <c r="I17" s="234" t="e">
        <f>KPIR!L59/(KPIR!L7+KPIR!L27+KPIR!L36)</f>
        <v>#DIV/0!</v>
      </c>
      <c r="J17" s="234" t="e">
        <f>KPIR!M59/(KPIR!M7+KPIR!M27+KPIR!M36)</f>
        <v>#DIV/0!</v>
      </c>
      <c r="K17" s="235" t="e">
        <f>KPIR!N59/(KPIR!N7+KPIR!N27+KPIR!N36)</f>
        <v>#DIV/0!</v>
      </c>
      <c r="L17" s="16" t="e">
        <f>IF($D$17&lt;$M$32,$M$37,0)</f>
        <v>#DIV/0!</v>
      </c>
      <c r="M17" s="16" t="e">
        <f>IF(AND($D$17&gt;=$M$32,$D$17&lt;$N$32),$N$37,0)</f>
        <v>#DIV/0!</v>
      </c>
      <c r="N17" s="16" t="e">
        <f>IF(AND($D$17&gt;=$N$32,$D$17&lt;$O$32),$O$37,0)</f>
        <v>#DIV/0!</v>
      </c>
      <c r="O17" s="16" t="e">
        <f>IF($D$17&gt;=$O$32,$P$37,0)</f>
        <v>#DIV/0!</v>
      </c>
      <c r="P17" s="16" t="e">
        <f>$Q$32*(L17+M17+N17+O17)</f>
        <v>#DIV/0!</v>
      </c>
    </row>
    <row r="18" spans="1:17" s="16" customFormat="1" ht="20.100000000000001" hidden="1" customHeight="1" x14ac:dyDescent="0.2">
      <c r="A18" s="236"/>
      <c r="B18" s="234"/>
      <c r="C18" s="234"/>
      <c r="D18" s="234"/>
      <c r="E18" s="234"/>
      <c r="F18" s="234"/>
      <c r="G18" s="234"/>
      <c r="H18" s="234"/>
      <c r="I18" s="234"/>
      <c r="J18" s="234"/>
      <c r="K18" s="235"/>
      <c r="P18" s="16">
        <f>$Q$31*(L18+M18+N18+O18)</f>
        <v>0</v>
      </c>
    </row>
    <row r="19" spans="1:17" s="16" customFormat="1" ht="20.100000000000001" customHeight="1" x14ac:dyDescent="0.2">
      <c r="A19" s="236" t="s">
        <v>67</v>
      </c>
      <c r="B19" s="234" t="e">
        <f>KPIR!D59/bilans!C80</f>
        <v>#DIV/0!</v>
      </c>
      <c r="C19" s="234" t="e">
        <f>KPIR!F59/((bilans!D80+bilans!C80)/2)</f>
        <v>#DIV/0!</v>
      </c>
      <c r="D19" s="234" t="e">
        <f>KPIR!G59/((bilans!E80+bilans!D80)/2)</f>
        <v>#DIV/0!</v>
      </c>
      <c r="E19" s="234" t="e">
        <f>KPIR!H59/((bilans!F80+bilans!E80)/2)</f>
        <v>#DIV/0!</v>
      </c>
      <c r="F19" s="234" t="e">
        <f>KPIR!I59/((bilans!G80+bilans!F80)/2)</f>
        <v>#DIV/0!</v>
      </c>
      <c r="G19" s="234" t="e">
        <f>KPIR!J59/((bilans!H80+bilans!G80)/2)</f>
        <v>#DIV/0!</v>
      </c>
      <c r="H19" s="234" t="e">
        <f>KPIR!K59/((bilans!I80+bilans!H80)/2)</f>
        <v>#DIV/0!</v>
      </c>
      <c r="I19" s="234" t="e">
        <f>KPIR!L59/((bilans!J80+bilans!I80)/2)</f>
        <v>#DIV/0!</v>
      </c>
      <c r="J19" s="234" t="e">
        <f>KPIR!M59/((bilans!K80+bilans!J80)/2)</f>
        <v>#DIV/0!</v>
      </c>
      <c r="K19" s="235" t="e">
        <f>KPIR!N59/((bilans!L80+bilans!K80)/2)</f>
        <v>#DIV/0!</v>
      </c>
      <c r="L19" s="16" t="e">
        <f>IF($D$19&lt;$M$33,$M$37,0)</f>
        <v>#DIV/0!</v>
      </c>
      <c r="M19" s="16" t="e">
        <f>IF(AND($D$19&gt;=$M$33,$D$19&lt;$N$33),$N$37,0)</f>
        <v>#DIV/0!</v>
      </c>
      <c r="N19" s="16" t="e">
        <f>IF(AND($D$19&gt;=$N$33,$D$19&lt;$O$33),$O$37,0)</f>
        <v>#DIV/0!</v>
      </c>
      <c r="O19" s="16" t="e">
        <f>IF($D$19&gt;=$O$33,$P$37,0)</f>
        <v>#DIV/0!</v>
      </c>
      <c r="P19" s="16" t="e">
        <f>$Q$33*(L19+M19+N19+O19)</f>
        <v>#DIV/0!</v>
      </c>
    </row>
    <row r="20" spans="1:17" s="16" customFormat="1" ht="20.100000000000001" customHeight="1" x14ac:dyDescent="0.2">
      <c r="A20" s="237" t="s">
        <v>66</v>
      </c>
      <c r="B20" s="234" t="e">
        <f>KPIR!D59/bilans!C83</f>
        <v>#DIV/0!</v>
      </c>
      <c r="C20" s="234" t="e">
        <f>KPIR!F59/((bilans!D83+bilans!C83)/2)</f>
        <v>#DIV/0!</v>
      </c>
      <c r="D20" s="234" t="e">
        <f>KPIR!G59/((bilans!E83+bilans!D83)/2)</f>
        <v>#DIV/0!</v>
      </c>
      <c r="E20" s="234" t="e">
        <f>KPIR!H59/((bilans!F83+bilans!E83)/2)</f>
        <v>#DIV/0!</v>
      </c>
      <c r="F20" s="234" t="e">
        <f>KPIR!I59/((bilans!G83+bilans!F83)/2)</f>
        <v>#DIV/0!</v>
      </c>
      <c r="G20" s="234" t="e">
        <f>KPIR!J59/((bilans!H83+bilans!G83)/2)</f>
        <v>#DIV/0!</v>
      </c>
      <c r="H20" s="234" t="e">
        <f>KPIR!K59/((bilans!I83+bilans!H83)/2)</f>
        <v>#DIV/0!</v>
      </c>
      <c r="I20" s="234" t="e">
        <f>KPIR!L59/((bilans!J83+bilans!I83)/2)</f>
        <v>#DIV/0!</v>
      </c>
      <c r="J20" s="234" t="e">
        <f>KPIR!M59/((bilans!K83+bilans!J83)/2)</f>
        <v>#DIV/0!</v>
      </c>
      <c r="K20" s="235" t="e">
        <f>KPIR!N59/((bilans!L83+bilans!K83)/2)</f>
        <v>#DIV/0!</v>
      </c>
    </row>
    <row r="21" spans="1:17" s="16" customFormat="1" ht="12.75" hidden="1" x14ac:dyDescent="0.2">
      <c r="A21" s="238" t="s">
        <v>54</v>
      </c>
      <c r="B21" s="234"/>
      <c r="C21" s="239" t="e">
        <f t="shared" ref="C21:J21" si="1">C49/C57</f>
        <v>#DIV/0!</v>
      </c>
      <c r="D21" s="239" t="e">
        <f t="shared" si="1"/>
        <v>#DIV/0!</v>
      </c>
      <c r="E21" s="239" t="e">
        <f t="shared" si="1"/>
        <v>#DIV/0!</v>
      </c>
      <c r="F21" s="239" t="e">
        <f t="shared" si="1"/>
        <v>#DIV/0!</v>
      </c>
      <c r="G21" s="239" t="e">
        <f t="shared" si="1"/>
        <v>#DIV/0!</v>
      </c>
      <c r="H21" s="240" t="e">
        <f t="shared" si="1"/>
        <v>#DIV/0!</v>
      </c>
      <c r="I21" s="241" t="e">
        <f t="shared" si="1"/>
        <v>#DIV/0!</v>
      </c>
      <c r="J21" s="240" t="e">
        <f t="shared" si="1"/>
        <v>#DIV/0!</v>
      </c>
      <c r="K21" s="242" t="e">
        <f t="shared" ref="K21" si="2">K49/K57</f>
        <v>#DIV/0!</v>
      </c>
      <c r="L21" s="16" t="e">
        <f t="shared" ref="L21" si="3">IF($C21&lt;0.4,0,"nie dotyczy")</f>
        <v>#DIV/0!</v>
      </c>
      <c r="M21" s="16" t="e">
        <f t="shared" ref="M21" si="4">IF(AND($C21&gt;=0.4,$D21&lt;0.8),1,"nie dotyczy")</f>
        <v>#DIV/0!</v>
      </c>
      <c r="N21" s="16" t="e">
        <f t="shared" ref="N21" si="5">IF(AND($C21&gt;=0.8,$D21&lt;1.2),2,"nie dotyczy")</f>
        <v>#DIV/0!</v>
      </c>
      <c r="O21" s="16" t="e">
        <f t="shared" ref="O21" si="6">IF($C21&gt;=1.2,3,"nie dotyczy")</f>
        <v>#DIV/0!</v>
      </c>
      <c r="P21" s="16" t="e">
        <f>$Q$31*(L21+M21+N21+O21)</f>
        <v>#DIV/0!</v>
      </c>
    </row>
    <row r="22" spans="1:17" s="16" customFormat="1" ht="3.75" customHeight="1" x14ac:dyDescent="0.2">
      <c r="A22" s="220"/>
      <c r="B22" s="221"/>
      <c r="C22" s="222"/>
      <c r="D22" s="222"/>
      <c r="E22" s="222"/>
      <c r="F22" s="222"/>
      <c r="G22" s="222"/>
      <c r="H22" s="222"/>
      <c r="I22" s="222"/>
      <c r="J22" s="222"/>
      <c r="K22" s="223"/>
    </row>
    <row r="23" spans="1:17" s="16" customFormat="1" ht="20.100000000000001" customHeight="1" x14ac:dyDescent="0.2">
      <c r="A23" s="243" t="s">
        <v>55</v>
      </c>
      <c r="B23" s="244" t="e">
        <f>bilans!C42/bilans!C109</f>
        <v>#DIV/0!</v>
      </c>
      <c r="C23" s="244" t="e">
        <f>bilans!D42/bilans!D109</f>
        <v>#DIV/0!</v>
      </c>
      <c r="D23" s="244" t="e">
        <f>bilans!E42/bilans!E109</f>
        <v>#DIV/0!</v>
      </c>
      <c r="E23" s="244" t="e">
        <f>bilans!F42/bilans!F109</f>
        <v>#DIV/0!</v>
      </c>
      <c r="F23" s="244" t="e">
        <f>bilans!G42/bilans!G109</f>
        <v>#DIV/0!</v>
      </c>
      <c r="G23" s="244" t="e">
        <f>bilans!H42/bilans!H109</f>
        <v>#DIV/0!</v>
      </c>
      <c r="H23" s="244" t="e">
        <f>bilans!I42/bilans!I109</f>
        <v>#DIV/0!</v>
      </c>
      <c r="I23" s="244" t="e">
        <f>bilans!J42/bilans!J109</f>
        <v>#DIV/0!</v>
      </c>
      <c r="J23" s="244" t="e">
        <f>bilans!K42/bilans!K109</f>
        <v>#DIV/0!</v>
      </c>
      <c r="K23" s="245" t="e">
        <f>bilans!L42/bilans!L109</f>
        <v>#DIV/0!</v>
      </c>
      <c r="L23" s="16" t="e">
        <f>IF($D$23&lt;$M$34,$M$37,0)</f>
        <v>#DIV/0!</v>
      </c>
      <c r="M23" s="16" t="e">
        <f>IF(AND($D$23&gt;=$M$34,$D$23&lt;$N$34),$N$37,0)</f>
        <v>#DIV/0!</v>
      </c>
      <c r="N23" s="16" t="e">
        <f>IF(AND($D$23&gt;=$N$34,$D$23&lt;$O$34),$O$37,0)</f>
        <v>#DIV/0!</v>
      </c>
      <c r="O23" s="16" t="e">
        <f>IF($D$23&gt;=$O$34,$P$37,0)</f>
        <v>#DIV/0!</v>
      </c>
      <c r="P23" s="16" t="e">
        <f>$Q$34*(L23+M23+N23+O23)</f>
        <v>#DIV/0!</v>
      </c>
    </row>
    <row r="24" spans="1:17" s="16" customFormat="1" ht="20.100000000000001" customHeight="1" x14ac:dyDescent="0.2">
      <c r="A24" s="246" t="s">
        <v>56</v>
      </c>
      <c r="B24" s="247" t="e">
        <f>(bilans!C49+bilans!C62)/bilans!C109</f>
        <v>#DIV/0!</v>
      </c>
      <c r="C24" s="247" t="e">
        <f>(bilans!D49+bilans!D62)/bilans!D109</f>
        <v>#DIV/0!</v>
      </c>
      <c r="D24" s="247" t="e">
        <f>(bilans!E49+bilans!E62)/bilans!E109</f>
        <v>#DIV/0!</v>
      </c>
      <c r="E24" s="247" t="e">
        <f>(bilans!F49+bilans!F62)/bilans!F109</f>
        <v>#DIV/0!</v>
      </c>
      <c r="F24" s="247" t="e">
        <f>(bilans!G49+bilans!G62)/bilans!G109</f>
        <v>#DIV/0!</v>
      </c>
      <c r="G24" s="247" t="e">
        <f>(bilans!H49+bilans!H62)/bilans!H109</f>
        <v>#DIV/0!</v>
      </c>
      <c r="H24" s="247" t="e">
        <f>(bilans!I49+bilans!I62)/bilans!I109</f>
        <v>#DIV/0!</v>
      </c>
      <c r="I24" s="247" t="e">
        <f>(bilans!J49+bilans!J62)/bilans!J109</f>
        <v>#DIV/0!</v>
      </c>
      <c r="J24" s="247" t="e">
        <f>(bilans!K49+bilans!K62)/bilans!K109</f>
        <v>#DIV/0!</v>
      </c>
      <c r="K24" s="248" t="e">
        <f>(bilans!L49+bilans!L62)/bilans!L109</f>
        <v>#DIV/0!</v>
      </c>
      <c r="L24" s="16" t="e">
        <f>IF($D$24&lt;$M$35,$M$37,0)</f>
        <v>#DIV/0!</v>
      </c>
      <c r="M24" s="16" t="e">
        <f>IF(AND($D$24&gt;=$M$35,$D$24&lt;$N$35),$N$37,0)</f>
        <v>#DIV/0!</v>
      </c>
      <c r="N24" s="16" t="e">
        <f>IF(AND($D$24&gt;=$N$35,$D$24&lt;$O$35),$O$37,0)</f>
        <v>#DIV/0!</v>
      </c>
      <c r="O24" s="16" t="e">
        <f>IF($D$24&gt;=$O$35,$P$37,0)</f>
        <v>#DIV/0!</v>
      </c>
      <c r="P24" s="16" t="e">
        <f>$Q$35*(L24+M24+N24+O24)</f>
        <v>#DIV/0!</v>
      </c>
    </row>
    <row r="25" spans="1:17" ht="4.5" customHeight="1" x14ac:dyDescent="0.25">
      <c r="A25" s="249"/>
      <c r="B25" s="250"/>
      <c r="C25" s="250"/>
      <c r="D25" s="250"/>
      <c r="E25" s="250"/>
      <c r="F25" s="250"/>
      <c r="G25" s="250"/>
      <c r="H25" s="250"/>
      <c r="I25" s="250"/>
      <c r="J25" s="250"/>
      <c r="K25" s="251"/>
      <c r="L25" s="16"/>
      <c r="M25" s="16"/>
      <c r="N25" s="16"/>
      <c r="O25" s="16"/>
      <c r="P25" s="16"/>
    </row>
    <row r="26" spans="1:17" ht="20.100000000000001" customHeight="1" x14ac:dyDescent="0.25">
      <c r="A26" s="252" t="s">
        <v>65</v>
      </c>
      <c r="B26" s="253" t="e">
        <f>(KPIR!D35+KPIR!D17)/(-przepływy!C24-przepływy!C34-przepływy!C35-przepływy!C37)</f>
        <v>#DIV/0!</v>
      </c>
      <c r="C26" s="253" t="e">
        <f>(KPIR!F35+KPIR!F17)/(-przepływy!D24-przepływy!D34-przepływy!D35-przepływy!D37)</f>
        <v>#DIV/0!</v>
      </c>
      <c r="D26" s="253" t="e">
        <f>(KPIR!G35+KPIR!G17)/(-przepływy!E24-przepływy!E34-przepływy!E35-przepływy!E37)</f>
        <v>#DIV/0!</v>
      </c>
      <c r="E26" s="253" t="e">
        <f>(KPIR!H35+KPIR!H17)/(-przepływy!F24-przepływy!F34-przepływy!F35-przepływy!F37)</f>
        <v>#DIV/0!</v>
      </c>
      <c r="F26" s="253" t="e">
        <f>(KPIR!I35+KPIR!I17)/(-przepływy!G24-przepływy!G34-przepływy!G35-przepływy!G37)</f>
        <v>#DIV/0!</v>
      </c>
      <c r="G26" s="253" t="e">
        <f>(KPIR!J35+KPIR!J17)/(-przepływy!H24-przepływy!H34-przepływy!H35-przepływy!H37)</f>
        <v>#DIV/0!</v>
      </c>
      <c r="H26" s="253" t="e">
        <f>(KPIR!K35+KPIR!K17)/(-przepływy!I24-przepływy!I34-przepływy!I35-przepływy!I37)</f>
        <v>#DIV/0!</v>
      </c>
      <c r="I26" s="253" t="e">
        <f>(KPIR!L35+KPIR!L17)/(-przepływy!J24-przepływy!J34-przepływy!J35)</f>
        <v>#DIV/0!</v>
      </c>
      <c r="J26" s="253" t="e">
        <f>(KPIR!M35+KPIR!M17)/(-przepływy!K24-przepływy!K34-przepływy!K35)</f>
        <v>#DIV/0!</v>
      </c>
      <c r="K26" s="254" t="e">
        <f>(KPIR!N35+KPIR!N17)/(-przepływy!L24-przepływy!L34-przepływy!L35)</f>
        <v>#DIV/0!</v>
      </c>
      <c r="L26" s="16" t="e">
        <f>IF($D$26&lt;$M$36,$M$37,0)</f>
        <v>#DIV/0!</v>
      </c>
      <c r="M26" s="16" t="e">
        <f>IF(AND($D$26&gt;=$M$36,$D$26&lt;$N$36),$N$37,0)</f>
        <v>#DIV/0!</v>
      </c>
      <c r="N26" s="16" t="e">
        <f>IF(AND($D$26&gt;=$N$36,$D$26&lt;$O$36),$O$37,0)</f>
        <v>#DIV/0!</v>
      </c>
      <c r="O26" s="16" t="e">
        <f>IF($D$26&gt;=$O$36,$P$37,0)</f>
        <v>#DIV/0!</v>
      </c>
      <c r="P26" s="16" t="e">
        <f>$Q$36*(L26+M26+N26+O26)</f>
        <v>#DIV/0!</v>
      </c>
    </row>
    <row r="27" spans="1:17" ht="20.100000000000001" customHeight="1" x14ac:dyDescent="0.25">
      <c r="A27" s="255" t="s">
        <v>320</v>
      </c>
      <c r="B27" s="256">
        <f>przepływy!C48</f>
        <v>0</v>
      </c>
      <c r="C27" s="256">
        <f>przepływy!D48</f>
        <v>0</v>
      </c>
      <c r="D27" s="256">
        <f>przepływy!E48</f>
        <v>0</v>
      </c>
      <c r="E27" s="256">
        <f>przepływy!F48</f>
        <v>0</v>
      </c>
      <c r="F27" s="256">
        <f>przepływy!G48</f>
        <v>0</v>
      </c>
      <c r="G27" s="256">
        <f>przepływy!H48</f>
        <v>0</v>
      </c>
      <c r="H27" s="256">
        <f>przepływy!I48</f>
        <v>0</v>
      </c>
      <c r="I27" s="256">
        <f>przepływy!J48</f>
        <v>0</v>
      </c>
      <c r="J27" s="256">
        <f>przepływy!K48</f>
        <v>0</v>
      </c>
      <c r="K27" s="256">
        <f>przepływy!L48</f>
        <v>0</v>
      </c>
      <c r="L27" s="16"/>
      <c r="M27" s="16"/>
      <c r="N27" s="16"/>
      <c r="O27" s="16"/>
    </row>
    <row r="28" spans="1:17" x14ac:dyDescent="0.25">
      <c r="B28" s="599" t="s">
        <v>431</v>
      </c>
      <c r="C28" s="599" t="s">
        <v>432</v>
      </c>
    </row>
    <row r="29" spans="1:17" ht="16.5" thickBot="1" x14ac:dyDescent="0.3">
      <c r="A29" t="s">
        <v>412</v>
      </c>
      <c r="B29" s="597" t="e">
        <f>P5+P17+P19+P23+P24+P26</f>
        <v>#DIV/0!</v>
      </c>
      <c r="C29" s="598" t="e">
        <f>P39+P40+P42+P46+P47+P49</f>
        <v>#DIV/0!</v>
      </c>
    </row>
    <row r="30" spans="1:17" ht="15.75" thickBot="1" x14ac:dyDescent="0.3">
      <c r="A30" s="259" t="s">
        <v>508</v>
      </c>
      <c r="B30">
        <f>KPIR!T6</f>
        <v>2024</v>
      </c>
      <c r="C30" s="728">
        <v>1</v>
      </c>
      <c r="Q30" t="s">
        <v>425</v>
      </c>
    </row>
    <row r="31" spans="1:17" x14ac:dyDescent="0.25">
      <c r="A31" t="s">
        <v>413</v>
      </c>
      <c r="C31" s="569"/>
      <c r="L31" s="582" t="s">
        <v>46</v>
      </c>
      <c r="M31" s="594">
        <v>0.15</v>
      </c>
      <c r="N31" s="594">
        <v>0.3</v>
      </c>
      <c r="O31" s="594">
        <v>0.5</v>
      </c>
      <c r="P31" s="583"/>
      <c r="Q31" s="584">
        <v>0.5</v>
      </c>
    </row>
    <row r="32" spans="1:17" x14ac:dyDescent="0.25">
      <c r="L32" s="585" t="s">
        <v>64</v>
      </c>
      <c r="M32" s="595">
        <v>0</v>
      </c>
      <c r="N32" s="595">
        <v>0.02</v>
      </c>
      <c r="O32" s="595">
        <v>0.1</v>
      </c>
      <c r="P32" s="586"/>
      <c r="Q32" s="587">
        <v>0.5</v>
      </c>
    </row>
    <row r="33" spans="12:17" x14ac:dyDescent="0.25">
      <c r="L33" s="588" t="s">
        <v>67</v>
      </c>
      <c r="M33" s="595">
        <v>0</v>
      </c>
      <c r="N33" s="595">
        <v>0.02</v>
      </c>
      <c r="O33" s="595">
        <v>0.1</v>
      </c>
      <c r="P33" s="586"/>
      <c r="Q33" s="587">
        <v>0.5</v>
      </c>
    </row>
    <row r="34" spans="12:17" x14ac:dyDescent="0.25">
      <c r="L34" s="589" t="s">
        <v>55</v>
      </c>
      <c r="M34" s="595">
        <v>0.4</v>
      </c>
      <c r="N34" s="595">
        <v>0.8</v>
      </c>
      <c r="O34" s="595">
        <v>1.2</v>
      </c>
      <c r="P34" s="586"/>
      <c r="Q34" s="587">
        <v>0.5</v>
      </c>
    </row>
    <row r="35" spans="12:17" x14ac:dyDescent="0.25">
      <c r="L35" s="590" t="s">
        <v>56</v>
      </c>
      <c r="M35" s="595">
        <v>0.3</v>
      </c>
      <c r="N35" s="595">
        <v>0.6</v>
      </c>
      <c r="O35" s="595">
        <v>1</v>
      </c>
      <c r="P35" s="586"/>
      <c r="Q35" s="587">
        <v>0.5</v>
      </c>
    </row>
    <row r="36" spans="12:17" x14ac:dyDescent="0.25">
      <c r="L36" s="591" t="s">
        <v>65</v>
      </c>
      <c r="M36" s="595">
        <v>0.8</v>
      </c>
      <c r="N36" s="595">
        <v>1</v>
      </c>
      <c r="O36" s="595">
        <v>1.2</v>
      </c>
      <c r="P36" s="586"/>
      <c r="Q36" s="587">
        <v>0.5</v>
      </c>
    </row>
    <row r="37" spans="12:17" ht="15.75" thickBot="1" x14ac:dyDescent="0.3">
      <c r="L37" s="592" t="s">
        <v>426</v>
      </c>
      <c r="M37" s="596">
        <v>0</v>
      </c>
      <c r="N37" s="596">
        <v>1</v>
      </c>
      <c r="O37" s="596">
        <v>2</v>
      </c>
      <c r="P37" s="596">
        <v>3</v>
      </c>
      <c r="Q37" s="593">
        <v>0.5</v>
      </c>
    </row>
    <row r="39" spans="12:17" x14ac:dyDescent="0.25">
      <c r="L39" s="16" t="e">
        <f>IF($E$5&lt;$M$31,$M$37,0)</f>
        <v>#DIV/0!</v>
      </c>
      <c r="M39" s="16" t="e">
        <f>IF(AND($E$5&gt;=$M$31,$E$5&lt;$N$31),$N$37,0)</f>
        <v>#DIV/0!</v>
      </c>
      <c r="N39" s="16" t="e">
        <f>IF(AND($E$5&gt;=$N$31,$E$5&lt;$O$31),$O$37,0)</f>
        <v>#DIV/0!</v>
      </c>
      <c r="O39" s="16" t="e">
        <f>IF($E$5&gt;=$O$31,$P$37,0)</f>
        <v>#DIV/0!</v>
      </c>
      <c r="P39" s="16" t="e">
        <f>$Q$31*(L39+M39+N39+O39)</f>
        <v>#DIV/0!</v>
      </c>
    </row>
    <row r="40" spans="12:17" x14ac:dyDescent="0.25">
      <c r="L40" s="16" t="e">
        <f>IF($E$17&lt;$M$32,$M$37,0)</f>
        <v>#DIV/0!</v>
      </c>
      <c r="M40" s="16" t="e">
        <f>IF(AND($E$17&gt;=$M$32,$E$17&lt;$N$32),$N$37,0)</f>
        <v>#DIV/0!</v>
      </c>
      <c r="N40" s="16" t="e">
        <f>IF(AND($E$17&gt;=$N$32,$E$17&lt;$O$32),$O$37,0)</f>
        <v>#DIV/0!</v>
      </c>
      <c r="O40" s="16" t="e">
        <f>IF($E$17&gt;=$O$32,$P$37,0)</f>
        <v>#DIV/0!</v>
      </c>
      <c r="P40" s="16" t="e">
        <f>$Q$32*(L40+M40+N40+O40)</f>
        <v>#DIV/0!</v>
      </c>
    </row>
    <row r="41" spans="12:17" x14ac:dyDescent="0.25">
      <c r="L41" s="16"/>
      <c r="M41" s="16"/>
      <c r="N41" s="16"/>
      <c r="O41" s="16"/>
      <c r="P41" s="16"/>
    </row>
    <row r="42" spans="12:17" x14ac:dyDescent="0.25">
      <c r="L42" s="16" t="e">
        <f>IF($E$19&lt;$M$33,$M$37,0)</f>
        <v>#DIV/0!</v>
      </c>
      <c r="M42" s="16" t="e">
        <f>IF(AND($E$19&gt;=$M$33,$E$19&lt;$N$33),$N$37,0)</f>
        <v>#DIV/0!</v>
      </c>
      <c r="N42" s="16" t="e">
        <f>IF(AND($E$19&gt;=$N$33,$E$19&lt;$O$33),$O$37,0)</f>
        <v>#DIV/0!</v>
      </c>
      <c r="O42" s="16" t="e">
        <f>IF($E$19&gt;=$O$33,$P$37,0)</f>
        <v>#DIV/0!</v>
      </c>
      <c r="P42" s="16" t="e">
        <f>$Q$33*(L42+M42+N42+O42)</f>
        <v>#DIV/0!</v>
      </c>
    </row>
    <row r="43" spans="12:17" x14ac:dyDescent="0.25">
      <c r="L43" s="16"/>
      <c r="M43" s="16"/>
      <c r="N43" s="16"/>
      <c r="O43" s="16"/>
      <c r="P43" s="16"/>
    </row>
    <row r="44" spans="12:17" x14ac:dyDescent="0.25">
      <c r="L44" s="16"/>
      <c r="M44" s="16"/>
      <c r="N44" s="16"/>
      <c r="O44" s="16"/>
      <c r="P44" s="16"/>
    </row>
    <row r="45" spans="12:17" x14ac:dyDescent="0.25">
      <c r="L45" s="16"/>
      <c r="M45" s="16"/>
      <c r="N45" s="16"/>
      <c r="O45" s="16"/>
      <c r="P45" s="16"/>
    </row>
    <row r="46" spans="12:17" x14ac:dyDescent="0.25">
      <c r="L46" s="16" t="e">
        <f>IF($E$23&lt;$M$34,$M$37,0)</f>
        <v>#DIV/0!</v>
      </c>
      <c r="M46" s="16" t="e">
        <f>IF(AND($E$23&gt;=$M$34,$E$23&lt;$N$34),$N$37,0)</f>
        <v>#DIV/0!</v>
      </c>
      <c r="N46" s="16" t="e">
        <f>IF(AND($E$23&gt;=$N$34,$E$23&lt;$O$34),$O$37,0)</f>
        <v>#DIV/0!</v>
      </c>
      <c r="O46" s="16" t="e">
        <f>IF($E$23&gt;=$O$34,$P$37,0)</f>
        <v>#DIV/0!</v>
      </c>
      <c r="P46" s="16" t="e">
        <f>$Q$34*(L46+M46+N46+O46)</f>
        <v>#DIV/0!</v>
      </c>
    </row>
    <row r="47" spans="12:17" x14ac:dyDescent="0.25">
      <c r="L47" s="16" t="e">
        <f>IF($E$24&lt;$M$35,$M$37,0)</f>
        <v>#DIV/0!</v>
      </c>
      <c r="M47" s="16" t="e">
        <f>IF(AND($E$24&gt;=$M$35,$E$24&lt;$N$35),$N$37,0)</f>
        <v>#DIV/0!</v>
      </c>
      <c r="N47" s="16" t="e">
        <f>IF(AND($E$24&gt;=$N$35,$E$24&lt;$O$35),$O$37,0)</f>
        <v>#DIV/0!</v>
      </c>
      <c r="O47" s="16" t="e">
        <f>IF($E$24&gt;=$O$35,$P$37,0)</f>
        <v>#DIV/0!</v>
      </c>
      <c r="P47" s="16" t="e">
        <f>$Q$35*(L47+M47+N47+O47)</f>
        <v>#DIV/0!</v>
      </c>
    </row>
    <row r="48" spans="12:17" x14ac:dyDescent="0.25">
      <c r="L48" s="16"/>
      <c r="M48" s="16"/>
      <c r="N48" s="16"/>
      <c r="O48" s="16"/>
      <c r="P48" s="16"/>
    </row>
    <row r="49" spans="12:16" x14ac:dyDescent="0.25">
      <c r="L49" s="16" t="e">
        <f>IF($E$26&lt;$M$36,$M$37,0)</f>
        <v>#DIV/0!</v>
      </c>
      <c r="M49" s="16" t="e">
        <f>IF(AND($E$26&gt;=$M$36,$E$26&lt;$N$36),$N$37,0)</f>
        <v>#DIV/0!</v>
      </c>
      <c r="N49" s="16" t="e">
        <f>IF(AND($E$26&gt;=$N$36,$E$26&lt;$O$36),$O$37,0)</f>
        <v>#DIV/0!</v>
      </c>
      <c r="O49" s="16" t="e">
        <f>IF($E$26&gt;=$O$36,$P$37,0)</f>
        <v>#DIV/0!</v>
      </c>
      <c r="P49" s="16" t="e">
        <f>$Q$36*(L49+M49+N49+O49)</f>
        <v>#DIV/0!</v>
      </c>
    </row>
  </sheetData>
  <sheetProtection algorithmName="SHA-512" hashValue="hsJWwAQmVZeC6uJml2HAAQmuhwajaNsFrsS56NDs2XoTijG5I6d+5NcYuagyCiFlGLlkCu5zgczbZYAE02friQ==" saltValue="fH+Ufqm4CKJ7o75cWzHAgw==" spinCount="100000" sheet="1" objects="1" scenarios="1"/>
  <pageMargins left="0.70866141732283472" right="0.70866141732283472" top="0.74803149606299213" bottom="0.74803149606299213" header="0.31496062992125984" footer="0.31496062992125984"/>
  <pageSetup scale="80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21"/>
  <sheetViews>
    <sheetView showGridLines="0" topLeftCell="B38" zoomScale="102" zoomScaleNormal="102" workbookViewId="0">
      <selection activeCell="L62" sqref="L62"/>
    </sheetView>
  </sheetViews>
  <sheetFormatPr defaultColWidth="9.140625" defaultRowHeight="15" x14ac:dyDescent="0.25"/>
  <cols>
    <col min="1" max="1" width="0" style="54" hidden="1" customWidth="1"/>
    <col min="2" max="2" width="15.85546875" style="54" customWidth="1"/>
    <col min="3" max="3" width="18.28515625" style="54" customWidth="1"/>
    <col min="4" max="4" width="12.42578125" style="54" bestFit="1" customWidth="1"/>
    <col min="5" max="5" width="14.5703125" style="54" bestFit="1" customWidth="1"/>
    <col min="6" max="6" width="13.140625" style="54" bestFit="1" customWidth="1"/>
    <col min="7" max="7" width="10.85546875" style="54" bestFit="1" customWidth="1"/>
    <col min="8" max="8" width="13" style="54" customWidth="1"/>
    <col min="9" max="9" width="12.42578125" style="54" bestFit="1" customWidth="1"/>
    <col min="10" max="10" width="10.85546875" style="54" bestFit="1" customWidth="1"/>
    <col min="11" max="11" width="9.140625" style="54" hidden="1" customWidth="1"/>
    <col min="12" max="16384" width="9.140625" style="54"/>
  </cols>
  <sheetData>
    <row r="1" spans="2:22" hidden="1" x14ac:dyDescent="0.25"/>
    <row r="2" spans="2:22" hidden="1" x14ac:dyDescent="0.25">
      <c r="B2" s="58"/>
      <c r="C2" s="58"/>
      <c r="D2" s="58"/>
      <c r="E2" s="58"/>
      <c r="F2" s="58"/>
      <c r="G2" s="58"/>
      <c r="H2" s="58"/>
      <c r="I2" s="58"/>
      <c r="J2" s="58"/>
    </row>
    <row r="3" spans="2:22" hidden="1" x14ac:dyDescent="0.25">
      <c r="B3" s="820"/>
      <c r="C3" s="821"/>
      <c r="D3" s="821"/>
      <c r="E3" s="821"/>
      <c r="F3" s="58"/>
      <c r="G3" s="58"/>
      <c r="H3" s="58"/>
      <c r="I3" s="58"/>
      <c r="J3" s="58"/>
    </row>
    <row r="4" spans="2:22" hidden="1" x14ac:dyDescent="0.25">
      <c r="B4" s="148"/>
      <c r="C4" s="149"/>
      <c r="D4" s="149"/>
      <c r="E4" s="461"/>
      <c r="F4" s="58"/>
      <c r="G4" s="58"/>
      <c r="H4" s="58"/>
      <c r="I4" s="58"/>
      <c r="J4" s="58"/>
    </row>
    <row r="5" spans="2:22" hidden="1" x14ac:dyDescent="0.25">
      <c r="B5" s="150"/>
      <c r="E5" s="461"/>
      <c r="F5" s="58"/>
      <c r="G5" s="58"/>
      <c r="H5" s="58"/>
      <c r="I5" s="58"/>
      <c r="J5" s="58"/>
    </row>
    <row r="6" spans="2:22" hidden="1" x14ac:dyDescent="0.25">
      <c r="B6" s="151"/>
      <c r="C6" s="59"/>
      <c r="D6" s="59"/>
      <c r="E6" s="461"/>
      <c r="F6" s="58"/>
      <c r="G6" s="58"/>
      <c r="H6" s="58"/>
      <c r="I6" s="58"/>
      <c r="J6" s="60"/>
    </row>
    <row r="7" spans="2:22" hidden="1" x14ac:dyDescent="0.25">
      <c r="B7" s="61"/>
      <c r="C7" s="62"/>
      <c r="D7" s="62"/>
      <c r="E7" s="62"/>
      <c r="F7" s="62"/>
      <c r="G7" s="62"/>
      <c r="H7" s="62"/>
      <c r="I7" s="58"/>
      <c r="J7" s="58"/>
    </row>
    <row r="8" spans="2:22" ht="30" hidden="1" x14ac:dyDescent="0.25">
      <c r="B8" s="63" t="s">
        <v>68</v>
      </c>
      <c r="C8" s="62"/>
      <c r="D8" s="62"/>
      <c r="E8" s="462">
        <f>'plan kosztów eksploatacyjnych'!B48</f>
        <v>0</v>
      </c>
      <c r="F8" s="62"/>
      <c r="G8" s="62"/>
      <c r="H8" s="62"/>
      <c r="I8" s="58"/>
      <c r="J8" s="58"/>
    </row>
    <row r="9" spans="2:22" hidden="1" x14ac:dyDescent="0.25">
      <c r="B9" s="64" t="s">
        <v>295</v>
      </c>
      <c r="C9" s="62"/>
      <c r="D9" s="62"/>
      <c r="E9" s="462">
        <f>'plan kosztów eksploatacyjnych'!B49</f>
        <v>0</v>
      </c>
      <c r="F9" s="62"/>
      <c r="G9" s="62"/>
      <c r="H9" s="62"/>
      <c r="I9" s="58"/>
      <c r="J9" s="58"/>
    </row>
    <row r="10" spans="2:22" ht="15.75" hidden="1" thickBot="1" x14ac:dyDescent="0.3">
      <c r="B10" s="65" t="s">
        <v>294</v>
      </c>
      <c r="C10" s="66"/>
      <c r="D10" s="66"/>
      <c r="E10" s="462">
        <f>'plan kosztów eksploatacyjnych'!B50</f>
        <v>0</v>
      </c>
      <c r="F10" s="62"/>
      <c r="G10" s="62"/>
      <c r="H10" s="62"/>
      <c r="I10" s="58"/>
      <c r="J10" s="58"/>
    </row>
    <row r="11" spans="2:22" hidden="1" x14ac:dyDescent="0.25">
      <c r="B11" s="58" t="s">
        <v>69</v>
      </c>
      <c r="D11" s="67"/>
      <c r="E11" s="68">
        <f>($E$8/365)*(KPIR!F14-KPIR!D14)</f>
        <v>0</v>
      </c>
      <c r="F11" s="68">
        <f>($E$8/365)*(KPIR!G14-KPIR!F14)</f>
        <v>0</v>
      </c>
      <c r="G11" s="68">
        <f>($E$8/365)*(KPIR!H14-KPIR!G14)</f>
        <v>0</v>
      </c>
      <c r="H11" s="68">
        <f>($E$8/365)*(KPIR!I14-KPIR!H14)</f>
        <v>0</v>
      </c>
      <c r="I11" s="68">
        <f>($E$8/365)*(KPIR!J14-KPIR!I14)</f>
        <v>0</v>
      </c>
      <c r="J11" s="68">
        <f>($E$8/365)*(KPIR!K14-KPIR!J14)</f>
        <v>0</v>
      </c>
      <c r="K11" s="68">
        <f>($E$8/365)*(KPIR!L14-KPIR!K14)</f>
        <v>0</v>
      </c>
      <c r="L11" s="68">
        <f>($E$8/365)*(KPIR!M14-KPIR!L14)</f>
        <v>0</v>
      </c>
      <c r="M11" s="68">
        <f>($E$8/365)*(KPIR!N14-KPIR!M14)</f>
        <v>0</v>
      </c>
      <c r="N11" s="68">
        <f>($E$8/365)*(KPIR!O14-KPIR!N14)</f>
        <v>0</v>
      </c>
      <c r="O11" s="68"/>
      <c r="P11" s="68"/>
      <c r="Q11" s="68"/>
      <c r="R11" s="68"/>
      <c r="S11" s="68"/>
      <c r="T11" s="68"/>
      <c r="U11" s="68"/>
      <c r="V11" s="68"/>
    </row>
    <row r="12" spans="2:22" ht="30" hidden="1" x14ac:dyDescent="0.25">
      <c r="B12" s="67" t="s">
        <v>70</v>
      </c>
      <c r="C12" s="67"/>
      <c r="D12" s="67"/>
      <c r="E12" s="68">
        <f>($E$9/365)*(KPIR!F7-KPIR!D7)</f>
        <v>0</v>
      </c>
      <c r="F12" s="68">
        <f>($E$9/365)*(KPIR!G9+KPIR!G12-KPIR!F9-KPIR!F12)</f>
        <v>0</v>
      </c>
      <c r="G12" s="68">
        <f>($E$9/365)*(KPIR!H9+KPIR!H12-KPIR!G9-KPIR!G12)</f>
        <v>0</v>
      </c>
      <c r="H12" s="68">
        <f>($E$9/365)*(KPIR!I9+KPIR!I12-KPIR!H9-KPIR!H12)</f>
        <v>0</v>
      </c>
      <c r="I12" s="68">
        <f>($E$9/365)*(KPIR!J9+KPIR!J12-KPIR!I9-KPIR!I12)</f>
        <v>0</v>
      </c>
      <c r="J12" s="58"/>
    </row>
    <row r="13" spans="2:22" hidden="1" x14ac:dyDescent="0.25">
      <c r="B13" s="69" t="s">
        <v>71</v>
      </c>
      <c r="C13" s="70"/>
      <c r="D13" s="71"/>
      <c r="E13" s="68">
        <f>($E$10/365)*(KPIR!F13-KPIR!F17)</f>
        <v>0</v>
      </c>
      <c r="F13" s="72">
        <f>($E$10/365)*(KPIR!G13-KPIR!G17-KPIR!F13+KPIR!F17)</f>
        <v>0</v>
      </c>
      <c r="G13" s="72">
        <f>($E$10/365)*(KPIR!H13-KPIR!H17-KPIR!G13+KPIR!G17)</f>
        <v>0</v>
      </c>
      <c r="H13" s="72">
        <f>($E$10/365)*(KPIR!I13-KPIR!I17-KPIR!H13+KPIR!H17)</f>
        <v>0</v>
      </c>
      <c r="I13" s="72">
        <f>($E$10/365)*(KPIR!J13-KPIR!J17-KPIR!I13+KPIR!I17)</f>
        <v>0</v>
      </c>
      <c r="J13" s="72">
        <f>($E$10/365)*(KPIR!K13-KPIR!K17-KPIR!J13+KPIR!J17)</f>
        <v>0</v>
      </c>
      <c r="K13" s="72">
        <f>($E$10/365)*(KPIR!L13-KPIR!L17-KPIR!K13+KPIR!K17)</f>
        <v>0</v>
      </c>
      <c r="L13" s="72">
        <f>($E$10/365)*(KPIR!M13-KPIR!M17-KPIR!L13+KPIR!L17)</f>
        <v>0</v>
      </c>
      <c r="M13" s="72">
        <f>($E$10/365)*(KPIR!N13-KPIR!N17-KPIR!M13+KPIR!M17)</f>
        <v>0</v>
      </c>
      <c r="N13" s="72">
        <f>($E$10/365)*(KPIR!O13-KPIR!O17-KPIR!N13+KPIR!N17)</f>
        <v>0</v>
      </c>
      <c r="O13" s="72"/>
      <c r="P13" s="72"/>
    </row>
    <row r="14" spans="2:22" hidden="1" x14ac:dyDescent="0.25">
      <c r="B14" s="67"/>
      <c r="C14" s="67"/>
      <c r="D14" s="67"/>
      <c r="E14" s="67"/>
      <c r="F14" s="166"/>
      <c r="G14" s="67"/>
      <c r="H14" s="67"/>
      <c r="I14" s="58"/>
      <c r="J14" s="58"/>
    </row>
    <row r="15" spans="2:22" hidden="1" x14ac:dyDescent="0.25">
      <c r="B15" s="67"/>
      <c r="C15" s="67"/>
      <c r="D15" s="67"/>
      <c r="E15" s="67"/>
      <c r="F15" s="67"/>
      <c r="G15" s="67"/>
      <c r="H15" s="67"/>
      <c r="I15" s="58"/>
      <c r="J15" s="58"/>
    </row>
    <row r="16" spans="2:22" hidden="1" x14ac:dyDescent="0.25">
      <c r="B16" s="67"/>
      <c r="C16" s="67"/>
      <c r="D16" s="67"/>
      <c r="E16" s="67"/>
      <c r="F16" s="67"/>
      <c r="G16" s="67"/>
      <c r="H16" s="67"/>
      <c r="I16" s="58"/>
      <c r="J16" s="58"/>
    </row>
    <row r="17" spans="2:10" hidden="1" x14ac:dyDescent="0.25">
      <c r="B17" s="67"/>
      <c r="C17" s="67"/>
      <c r="D17" s="67"/>
      <c r="E17" s="67"/>
      <c r="F17" s="67"/>
      <c r="G17" s="67"/>
      <c r="H17" s="67"/>
      <c r="I17" s="58"/>
      <c r="J17" s="58"/>
    </row>
    <row r="18" spans="2:10" hidden="1" x14ac:dyDescent="0.25">
      <c r="B18" s="67"/>
      <c r="C18" s="67"/>
      <c r="D18" s="67"/>
      <c r="E18" s="67"/>
      <c r="F18" s="67"/>
      <c r="G18" s="67"/>
      <c r="H18" s="67"/>
      <c r="I18" s="58"/>
      <c r="J18" s="58"/>
    </row>
    <row r="19" spans="2:10" hidden="1" x14ac:dyDescent="0.25">
      <c r="B19" s="67"/>
      <c r="C19" s="67"/>
      <c r="D19" s="67"/>
      <c r="E19" s="67"/>
      <c r="F19" s="67"/>
      <c r="G19" s="67"/>
      <c r="H19" s="67"/>
      <c r="I19" s="58"/>
      <c r="J19" s="58"/>
    </row>
    <row r="20" spans="2:10" hidden="1" x14ac:dyDescent="0.25">
      <c r="B20" s="67"/>
      <c r="C20" s="67"/>
      <c r="D20" s="67"/>
      <c r="E20" s="67"/>
      <c r="F20" s="67"/>
      <c r="G20" s="67"/>
      <c r="H20" s="67"/>
      <c r="I20" s="58"/>
      <c r="J20" s="58"/>
    </row>
    <row r="21" spans="2:10" hidden="1" x14ac:dyDescent="0.25">
      <c r="B21" s="67"/>
      <c r="C21" s="67"/>
      <c r="D21" s="67"/>
      <c r="E21" s="67"/>
      <c r="F21" s="67"/>
      <c r="G21" s="67"/>
      <c r="H21" s="67"/>
      <c r="I21" s="58"/>
      <c r="J21" s="58"/>
    </row>
    <row r="22" spans="2:10" hidden="1" x14ac:dyDescent="0.25">
      <c r="B22" s="67"/>
      <c r="C22" s="67"/>
      <c r="D22" s="67"/>
      <c r="E22" s="67"/>
      <c r="F22" s="67"/>
      <c r="G22" s="67"/>
      <c r="H22" s="67"/>
      <c r="I22" s="58"/>
      <c r="J22" s="58"/>
    </row>
    <row r="23" spans="2:10" hidden="1" x14ac:dyDescent="0.25">
      <c r="B23" s="67"/>
      <c r="C23" s="67"/>
      <c r="D23" s="67"/>
      <c r="E23" s="67"/>
      <c r="F23" s="67"/>
      <c r="G23" s="67"/>
      <c r="H23" s="67"/>
      <c r="I23" s="58"/>
      <c r="J23" s="58"/>
    </row>
    <row r="24" spans="2:10" hidden="1" x14ac:dyDescent="0.25">
      <c r="B24" s="67"/>
      <c r="C24" s="67"/>
      <c r="D24" s="67"/>
      <c r="E24" s="67"/>
      <c r="F24" s="67"/>
      <c r="G24" s="67"/>
      <c r="H24" s="67"/>
      <c r="I24" s="58"/>
      <c r="J24" s="58"/>
    </row>
    <row r="25" spans="2:10" hidden="1" x14ac:dyDescent="0.25">
      <c r="B25" s="67"/>
      <c r="C25" s="67"/>
      <c r="D25" s="67"/>
      <c r="E25" s="67"/>
      <c r="F25" s="67"/>
      <c r="G25" s="67"/>
      <c r="H25" s="67"/>
      <c r="I25" s="58"/>
      <c r="J25" s="58"/>
    </row>
    <row r="26" spans="2:10" hidden="1" x14ac:dyDescent="0.25">
      <c r="B26" s="67"/>
      <c r="C26" s="67"/>
      <c r="D26" s="67"/>
      <c r="E26" s="67"/>
      <c r="F26" s="67"/>
      <c r="G26" s="67"/>
      <c r="H26" s="67"/>
      <c r="I26" s="58"/>
      <c r="J26" s="58"/>
    </row>
    <row r="27" spans="2:10" hidden="1" x14ac:dyDescent="0.25">
      <c r="B27" s="67"/>
      <c r="C27" s="67"/>
      <c r="D27" s="67"/>
      <c r="E27" s="67"/>
      <c r="F27" s="67"/>
      <c r="G27" s="67"/>
      <c r="H27" s="67"/>
      <c r="I27" s="58"/>
      <c r="J27" s="58"/>
    </row>
    <row r="28" spans="2:10" hidden="1" x14ac:dyDescent="0.25">
      <c r="B28" s="67"/>
      <c r="C28" s="67"/>
      <c r="D28" s="67"/>
      <c r="E28" s="67"/>
      <c r="F28" s="67"/>
      <c r="G28" s="67"/>
      <c r="H28" s="67"/>
      <c r="I28" s="58"/>
      <c r="J28" s="58"/>
    </row>
    <row r="29" spans="2:10" hidden="1" x14ac:dyDescent="0.25">
      <c r="B29" s="67"/>
      <c r="C29" s="67"/>
      <c r="D29" s="67"/>
      <c r="E29" s="67"/>
      <c r="F29" s="67"/>
      <c r="G29" s="67"/>
      <c r="H29" s="67"/>
      <c r="I29" s="58"/>
      <c r="J29" s="58"/>
    </row>
    <row r="30" spans="2:10" hidden="1" x14ac:dyDescent="0.25">
      <c r="B30" s="67"/>
      <c r="C30" s="67"/>
      <c r="D30" s="67"/>
      <c r="E30" s="67"/>
      <c r="F30" s="67"/>
      <c r="G30" s="67"/>
      <c r="H30" s="67"/>
      <c r="I30" s="58"/>
      <c r="J30" s="58"/>
    </row>
    <row r="31" spans="2:10" hidden="1" x14ac:dyDescent="0.25">
      <c r="B31" s="67"/>
      <c r="C31" s="67"/>
      <c r="D31" s="67"/>
      <c r="E31" s="67"/>
      <c r="F31" s="67"/>
      <c r="G31" s="67"/>
      <c r="H31" s="67"/>
      <c r="I31" s="58"/>
      <c r="J31" s="58"/>
    </row>
    <row r="32" spans="2:10" hidden="1" x14ac:dyDescent="0.25">
      <c r="B32" s="67"/>
      <c r="C32" s="67"/>
      <c r="D32" s="67"/>
      <c r="E32" s="67"/>
      <c r="F32" s="67"/>
      <c r="G32" s="67"/>
      <c r="H32" s="67"/>
      <c r="I32" s="58"/>
      <c r="J32" s="58"/>
    </row>
    <row r="33" spans="1:13" hidden="1" x14ac:dyDescent="0.25">
      <c r="B33" s="67"/>
      <c r="C33" s="67"/>
      <c r="D33" s="67"/>
      <c r="E33" s="67"/>
      <c r="F33" s="67"/>
      <c r="G33" s="67"/>
      <c r="H33" s="67"/>
      <c r="I33" s="58"/>
      <c r="J33" s="58"/>
    </row>
    <row r="34" spans="1:13" hidden="1" x14ac:dyDescent="0.25">
      <c r="B34" s="67"/>
      <c r="C34" s="67"/>
      <c r="D34" s="67"/>
      <c r="E34" s="67"/>
      <c r="F34" s="67"/>
      <c r="G34" s="67"/>
      <c r="H34" s="67"/>
      <c r="I34" s="58"/>
      <c r="J34" s="58"/>
    </row>
    <row r="35" spans="1:13" hidden="1" x14ac:dyDescent="0.25">
      <c r="B35" s="67"/>
      <c r="C35" s="67"/>
      <c r="D35" s="67"/>
      <c r="E35" s="67"/>
      <c r="F35" s="67"/>
      <c r="G35" s="67"/>
      <c r="H35" s="67"/>
      <c r="I35" s="58"/>
      <c r="J35" s="58"/>
    </row>
    <row r="36" spans="1:13" ht="15.75" hidden="1" thickBot="1" x14ac:dyDescent="0.3">
      <c r="B36" s="73"/>
      <c r="C36" s="73"/>
      <c r="D36" s="74"/>
      <c r="E36" s="75"/>
      <c r="F36" s="75"/>
      <c r="G36" s="75"/>
    </row>
    <row r="37" spans="1:13" ht="24" hidden="1" thickBot="1" x14ac:dyDescent="0.4">
      <c r="A37" s="463" t="s">
        <v>285</v>
      </c>
      <c r="B37" s="464"/>
      <c r="C37" s="465"/>
      <c r="D37" s="466"/>
      <c r="E37" s="466"/>
      <c r="F37" s="466"/>
      <c r="G37" s="467"/>
    </row>
    <row r="38" spans="1:13" ht="16.5" thickBot="1" x14ac:dyDescent="0.3">
      <c r="A38" s="468"/>
      <c r="B38" s="468" t="s">
        <v>290</v>
      </c>
      <c r="C38" s="469" t="s">
        <v>291</v>
      </c>
      <c r="D38" s="606" t="s">
        <v>408</v>
      </c>
      <c r="E38" s="607"/>
      <c r="F38" s="470"/>
      <c r="G38" s="470"/>
      <c r="H38" s="471"/>
      <c r="I38" s="472" t="s">
        <v>290</v>
      </c>
      <c r="J38" s="472" t="s">
        <v>291</v>
      </c>
      <c r="K38" s="578" t="s">
        <v>427</v>
      </c>
    </row>
    <row r="39" spans="1:13" ht="30" x14ac:dyDescent="0.25">
      <c r="A39" s="473" t="e">
        <f>H39+R15+AB15+AL15+AV15+BF15+BP15+BZ15+CJ15+CT15+DD15</f>
        <v>#VALUE!</v>
      </c>
      <c r="B39" s="729">
        <f>I39+S15+AC15+AM15+AW15+BG15+BQ15+CA15+CK15+CU15+DE15</f>
        <v>0</v>
      </c>
      <c r="C39" s="729">
        <f>J39+T15+AD15+AN15+AX15+BH15+BR15+CB15+CL15+CV15+DF15</f>
        <v>0</v>
      </c>
      <c r="D39" s="730"/>
      <c r="E39" s="731"/>
      <c r="F39" s="732" t="s">
        <v>286</v>
      </c>
      <c r="G39" s="733">
        <f>'Parametry nakładów i pożyczki'!B28</f>
        <v>0</v>
      </c>
      <c r="H39" s="734" t="s">
        <v>287</v>
      </c>
      <c r="I39" s="735">
        <f>D283</f>
        <v>0</v>
      </c>
      <c r="J39" s="735">
        <f>E283</f>
        <v>0</v>
      </c>
      <c r="K39" s="688"/>
      <c r="L39" s="688"/>
    </row>
    <row r="40" spans="1:13" ht="15.75" x14ac:dyDescent="0.25">
      <c r="A40" s="474"/>
      <c r="B40" s="736"/>
      <c r="C40" s="737"/>
      <c r="D40" s="738"/>
      <c r="E40" s="738"/>
      <c r="F40" s="738"/>
      <c r="G40" s="739"/>
      <c r="H40" s="740"/>
      <c r="I40" s="688"/>
      <c r="J40" s="688"/>
      <c r="K40" s="688"/>
      <c r="L40" s="688"/>
    </row>
    <row r="41" spans="1:13" x14ac:dyDescent="0.25">
      <c r="A41" s="475" t="s">
        <v>288</v>
      </c>
      <c r="B41" s="755" t="s">
        <v>288</v>
      </c>
      <c r="C41" s="755" t="s">
        <v>289</v>
      </c>
      <c r="D41" s="756" t="s">
        <v>290</v>
      </c>
      <c r="E41" s="756" t="s">
        <v>291</v>
      </c>
      <c r="F41" s="756" t="s">
        <v>292</v>
      </c>
      <c r="G41" s="757" t="s">
        <v>293</v>
      </c>
      <c r="H41" s="758"/>
      <c r="I41" s="688"/>
      <c r="J41" s="688"/>
      <c r="K41" s="688"/>
      <c r="L41" s="688"/>
    </row>
    <row r="42" spans="1:13" ht="15.75" thickBot="1" x14ac:dyDescent="0.3">
      <c r="A42" s="476">
        <v>42384</v>
      </c>
      <c r="B42" s="765">
        <v>45889</v>
      </c>
      <c r="C42" s="741"/>
      <c r="D42" s="742"/>
      <c r="E42" s="742"/>
      <c r="F42" s="743">
        <f>'Parametry nakładów i pożyczki'!B27</f>
        <v>0</v>
      </c>
      <c r="G42" s="744"/>
      <c r="H42" s="740"/>
      <c r="I42" s="745"/>
      <c r="J42" s="688"/>
      <c r="K42" s="688">
        <f>YEAR(B42)</f>
        <v>2025</v>
      </c>
      <c r="L42" s="688"/>
    </row>
    <row r="43" spans="1:13" ht="15.75" thickBot="1" x14ac:dyDescent="0.3">
      <c r="A43" s="477">
        <v>42420</v>
      </c>
      <c r="B43" s="579">
        <v>45920</v>
      </c>
      <c r="C43" s="746">
        <f>B43-B42</f>
        <v>31</v>
      </c>
      <c r="D43" s="747"/>
      <c r="E43" s="747">
        <f>(F42*C43*H43/36500)</f>
        <v>0</v>
      </c>
      <c r="F43" s="748">
        <f>F42-D43</f>
        <v>0</v>
      </c>
      <c r="G43" s="747">
        <f>D43+E43</f>
        <v>0</v>
      </c>
      <c r="H43" s="749">
        <f>'Parametry nakładów i pożyczki'!B29</f>
        <v>0</v>
      </c>
      <c r="I43" s="745">
        <f>SUMIF(K$42:K$162,L43,D$42:D$162)</f>
        <v>0</v>
      </c>
      <c r="J43" s="745">
        <f>SUMIF(K$42:K$162,L43,E$42:E$162)</f>
        <v>0</v>
      </c>
      <c r="K43" s="688">
        <f t="shared" ref="K43:K106" si="0">YEAR(B43)</f>
        <v>2025</v>
      </c>
      <c r="L43" s="754">
        <v>2025</v>
      </c>
      <c r="M43" s="54" t="s">
        <v>428</v>
      </c>
    </row>
    <row r="44" spans="1:13" ht="15.75" thickBot="1" x14ac:dyDescent="0.3">
      <c r="A44" s="478">
        <v>42449</v>
      </c>
      <c r="B44" s="765">
        <v>45950</v>
      </c>
      <c r="C44" s="746">
        <f t="shared" ref="C44:C102" si="1">B44-B43</f>
        <v>30</v>
      </c>
      <c r="D44" s="747"/>
      <c r="E44" s="747">
        <f t="shared" ref="E44:E54" si="2">(F43*C44*H44/36500)</f>
        <v>0</v>
      </c>
      <c r="F44" s="748">
        <f t="shared" ref="F44:F58" si="3">F43-D44</f>
        <v>0</v>
      </c>
      <c r="G44" s="747">
        <f t="shared" ref="G44:G102" si="4">D44+E44</f>
        <v>0</v>
      </c>
      <c r="H44" s="750">
        <f t="shared" ref="H44:H75" si="5">$H$43</f>
        <v>0</v>
      </c>
      <c r="I44" s="688"/>
      <c r="J44" s="688"/>
      <c r="K44" s="688">
        <f t="shared" si="0"/>
        <v>2025</v>
      </c>
      <c r="L44" s="688"/>
      <c r="M44" s="580" t="s">
        <v>429</v>
      </c>
    </row>
    <row r="45" spans="1:13" x14ac:dyDescent="0.25">
      <c r="A45" s="477">
        <v>42480</v>
      </c>
      <c r="B45" s="579">
        <v>45981</v>
      </c>
      <c r="C45" s="746">
        <f t="shared" si="1"/>
        <v>31</v>
      </c>
      <c r="D45" s="747"/>
      <c r="E45" s="747">
        <f t="shared" si="2"/>
        <v>0</v>
      </c>
      <c r="F45" s="748">
        <f>F44-D45</f>
        <v>0</v>
      </c>
      <c r="G45" s="747">
        <f t="shared" si="4"/>
        <v>0</v>
      </c>
      <c r="H45" s="750">
        <f t="shared" si="5"/>
        <v>0</v>
      </c>
      <c r="I45" s="688"/>
      <c r="J45" s="688"/>
      <c r="K45" s="688">
        <f t="shared" si="0"/>
        <v>2025</v>
      </c>
      <c r="L45" s="688"/>
    </row>
    <row r="46" spans="1:13" ht="15.75" thickBot="1" x14ac:dyDescent="0.3">
      <c r="A46" s="478">
        <v>42510</v>
      </c>
      <c r="B46" s="765">
        <v>46011</v>
      </c>
      <c r="C46" s="746">
        <f t="shared" si="1"/>
        <v>30</v>
      </c>
      <c r="D46" s="747"/>
      <c r="E46" s="747">
        <f t="shared" si="2"/>
        <v>0</v>
      </c>
      <c r="F46" s="748">
        <f t="shared" si="3"/>
        <v>0</v>
      </c>
      <c r="G46" s="747">
        <f t="shared" si="4"/>
        <v>0</v>
      </c>
      <c r="H46" s="750">
        <f t="shared" si="5"/>
        <v>0</v>
      </c>
      <c r="I46" s="688"/>
      <c r="J46" s="688"/>
      <c r="K46" s="688">
        <f t="shared" si="0"/>
        <v>2025</v>
      </c>
      <c r="L46" s="688"/>
    </row>
    <row r="47" spans="1:13" x14ac:dyDescent="0.25">
      <c r="A47" s="477">
        <v>42541</v>
      </c>
      <c r="B47" s="579">
        <v>46042</v>
      </c>
      <c r="C47" s="746">
        <f t="shared" si="1"/>
        <v>31</v>
      </c>
      <c r="D47" s="747"/>
      <c r="E47" s="747">
        <f t="shared" si="2"/>
        <v>0</v>
      </c>
      <c r="F47" s="748">
        <f>F46-D47</f>
        <v>0</v>
      </c>
      <c r="G47" s="747">
        <f t="shared" si="4"/>
        <v>0</v>
      </c>
      <c r="H47" s="750">
        <f t="shared" si="5"/>
        <v>0</v>
      </c>
      <c r="I47" s="688"/>
      <c r="J47" s="688"/>
      <c r="K47" s="688">
        <f t="shared" si="0"/>
        <v>2026</v>
      </c>
      <c r="L47" s="688"/>
    </row>
    <row r="48" spans="1:13" ht="15.75" thickBot="1" x14ac:dyDescent="0.3">
      <c r="A48" s="478">
        <v>42571</v>
      </c>
      <c r="B48" s="765">
        <v>46073</v>
      </c>
      <c r="C48" s="746">
        <f t="shared" si="1"/>
        <v>31</v>
      </c>
      <c r="D48" s="747"/>
      <c r="E48" s="747">
        <f t="shared" si="2"/>
        <v>0</v>
      </c>
      <c r="F48" s="748">
        <f>F47-D48</f>
        <v>0</v>
      </c>
      <c r="G48" s="747">
        <f t="shared" si="4"/>
        <v>0</v>
      </c>
      <c r="H48" s="750">
        <f t="shared" si="5"/>
        <v>0</v>
      </c>
      <c r="I48" s="688"/>
      <c r="J48" s="688"/>
      <c r="K48" s="688">
        <f t="shared" si="0"/>
        <v>2026</v>
      </c>
      <c r="L48" s="688"/>
    </row>
    <row r="49" spans="1:12" x14ac:dyDescent="0.25">
      <c r="A49" s="477">
        <v>42602</v>
      </c>
      <c r="B49" s="579">
        <v>46101</v>
      </c>
      <c r="C49" s="746">
        <f t="shared" si="1"/>
        <v>28</v>
      </c>
      <c r="D49" s="747">
        <f t="shared" ref="D49:D54" si="6">IF(F48&lt;=0.1,0,$F$42/$G$39)</f>
        <v>0</v>
      </c>
      <c r="E49" s="747">
        <f t="shared" si="2"/>
        <v>0</v>
      </c>
      <c r="F49" s="748">
        <f t="shared" si="3"/>
        <v>0</v>
      </c>
      <c r="G49" s="747">
        <f t="shared" si="4"/>
        <v>0</v>
      </c>
      <c r="H49" s="750">
        <f t="shared" si="5"/>
        <v>0</v>
      </c>
      <c r="I49" s="688"/>
      <c r="J49" s="688"/>
      <c r="K49" s="688">
        <f t="shared" si="0"/>
        <v>2026</v>
      </c>
      <c r="L49" s="688"/>
    </row>
    <row r="50" spans="1:12" ht="15.75" thickBot="1" x14ac:dyDescent="0.3">
      <c r="A50" s="478">
        <v>42633</v>
      </c>
      <c r="B50" s="765">
        <v>46132</v>
      </c>
      <c r="C50" s="746">
        <f t="shared" si="1"/>
        <v>31</v>
      </c>
      <c r="D50" s="747">
        <f t="shared" si="6"/>
        <v>0</v>
      </c>
      <c r="E50" s="747">
        <f t="shared" si="2"/>
        <v>0</v>
      </c>
      <c r="F50" s="748">
        <f t="shared" si="3"/>
        <v>0</v>
      </c>
      <c r="G50" s="747">
        <f t="shared" si="4"/>
        <v>0</v>
      </c>
      <c r="H50" s="750">
        <f t="shared" si="5"/>
        <v>0</v>
      </c>
      <c r="I50" s="688"/>
      <c r="J50" s="688"/>
      <c r="K50" s="688">
        <f t="shared" si="0"/>
        <v>2026</v>
      </c>
      <c r="L50" s="688"/>
    </row>
    <row r="51" spans="1:12" x14ac:dyDescent="0.25">
      <c r="A51" s="477">
        <v>42663</v>
      </c>
      <c r="B51" s="579">
        <v>46162</v>
      </c>
      <c r="C51" s="746">
        <f t="shared" si="1"/>
        <v>30</v>
      </c>
      <c r="D51" s="747">
        <f t="shared" si="6"/>
        <v>0</v>
      </c>
      <c r="E51" s="747">
        <f t="shared" si="2"/>
        <v>0</v>
      </c>
      <c r="F51" s="748">
        <f t="shared" si="3"/>
        <v>0</v>
      </c>
      <c r="G51" s="747">
        <f t="shared" si="4"/>
        <v>0</v>
      </c>
      <c r="H51" s="750">
        <f t="shared" si="5"/>
        <v>0</v>
      </c>
      <c r="I51" s="688"/>
      <c r="J51" s="688"/>
      <c r="K51" s="688">
        <f t="shared" si="0"/>
        <v>2026</v>
      </c>
      <c r="L51" s="688"/>
    </row>
    <row r="52" spans="1:12" ht="15.75" thickBot="1" x14ac:dyDescent="0.3">
      <c r="A52" s="478">
        <v>42694</v>
      </c>
      <c r="B52" s="765">
        <v>46193</v>
      </c>
      <c r="C52" s="746">
        <f t="shared" si="1"/>
        <v>31</v>
      </c>
      <c r="D52" s="747">
        <f t="shared" si="6"/>
        <v>0</v>
      </c>
      <c r="E52" s="747">
        <f t="shared" si="2"/>
        <v>0</v>
      </c>
      <c r="F52" s="748">
        <f t="shared" si="3"/>
        <v>0</v>
      </c>
      <c r="G52" s="747">
        <f t="shared" si="4"/>
        <v>0</v>
      </c>
      <c r="H52" s="750">
        <f t="shared" si="5"/>
        <v>0</v>
      </c>
      <c r="I52" s="688"/>
      <c r="J52" s="688"/>
      <c r="K52" s="688">
        <f t="shared" si="0"/>
        <v>2026</v>
      </c>
      <c r="L52" s="688"/>
    </row>
    <row r="53" spans="1:12" x14ac:dyDescent="0.25">
      <c r="A53" s="477">
        <v>42724</v>
      </c>
      <c r="B53" s="579">
        <v>46223</v>
      </c>
      <c r="C53" s="746">
        <f t="shared" si="1"/>
        <v>30</v>
      </c>
      <c r="D53" s="747">
        <f t="shared" si="6"/>
        <v>0</v>
      </c>
      <c r="E53" s="747">
        <f t="shared" si="2"/>
        <v>0</v>
      </c>
      <c r="F53" s="748">
        <f t="shared" si="3"/>
        <v>0</v>
      </c>
      <c r="G53" s="747">
        <f t="shared" si="4"/>
        <v>0</v>
      </c>
      <c r="H53" s="750">
        <f t="shared" si="5"/>
        <v>0</v>
      </c>
      <c r="I53" s="688"/>
      <c r="J53" s="688"/>
      <c r="K53" s="688">
        <f t="shared" si="0"/>
        <v>2026</v>
      </c>
      <c r="L53" s="688"/>
    </row>
    <row r="54" spans="1:12" ht="15.75" thickBot="1" x14ac:dyDescent="0.3">
      <c r="A54" s="478">
        <v>42755</v>
      </c>
      <c r="B54" s="765">
        <v>46254</v>
      </c>
      <c r="C54" s="746">
        <f t="shared" si="1"/>
        <v>31</v>
      </c>
      <c r="D54" s="747">
        <f t="shared" si="6"/>
        <v>0</v>
      </c>
      <c r="E54" s="747">
        <f t="shared" si="2"/>
        <v>0</v>
      </c>
      <c r="F54" s="748">
        <f>F53-D54</f>
        <v>0</v>
      </c>
      <c r="G54" s="747">
        <f t="shared" si="4"/>
        <v>0</v>
      </c>
      <c r="H54" s="750">
        <f t="shared" si="5"/>
        <v>0</v>
      </c>
      <c r="I54" s="688"/>
      <c r="J54" s="688"/>
      <c r="K54" s="688">
        <f t="shared" si="0"/>
        <v>2026</v>
      </c>
      <c r="L54" s="688"/>
    </row>
    <row r="55" spans="1:12" x14ac:dyDescent="0.25">
      <c r="A55" s="477">
        <v>42786</v>
      </c>
      <c r="B55" s="579">
        <v>46285</v>
      </c>
      <c r="C55" s="746">
        <f t="shared" si="1"/>
        <v>31</v>
      </c>
      <c r="D55" s="747">
        <f t="shared" ref="D55:D75" si="7">IF(F54&lt;=0.1,0,$F$42/$G$39)</f>
        <v>0</v>
      </c>
      <c r="E55" s="747">
        <f t="shared" ref="E55:E107" si="8">IF(D55&lt;0.1,0,(F54*C55*H55/36500))</f>
        <v>0</v>
      </c>
      <c r="F55" s="748">
        <f t="shared" si="3"/>
        <v>0</v>
      </c>
      <c r="G55" s="747">
        <f t="shared" si="4"/>
        <v>0</v>
      </c>
      <c r="H55" s="750">
        <f t="shared" si="5"/>
        <v>0</v>
      </c>
      <c r="I55" s="745">
        <f>SUMIF(K$42:K$162,L55,D$42:D$162)</f>
        <v>0</v>
      </c>
      <c r="J55" s="745">
        <f>SUMIF(K$42:K$162,L55,E$42:E$162)</f>
        <v>0</v>
      </c>
      <c r="K55" s="688">
        <f t="shared" si="0"/>
        <v>2026</v>
      </c>
      <c r="L55" s="688">
        <f>L43+1</f>
        <v>2026</v>
      </c>
    </row>
    <row r="56" spans="1:12" ht="15.75" thickBot="1" x14ac:dyDescent="0.3">
      <c r="A56" s="478">
        <v>42814</v>
      </c>
      <c r="B56" s="765">
        <v>46315</v>
      </c>
      <c r="C56" s="746">
        <f t="shared" si="1"/>
        <v>30</v>
      </c>
      <c r="D56" s="747">
        <f t="shared" si="7"/>
        <v>0</v>
      </c>
      <c r="E56" s="747">
        <f t="shared" si="8"/>
        <v>0</v>
      </c>
      <c r="F56" s="748">
        <f t="shared" si="3"/>
        <v>0</v>
      </c>
      <c r="G56" s="747">
        <f t="shared" si="4"/>
        <v>0</v>
      </c>
      <c r="H56" s="750">
        <f t="shared" si="5"/>
        <v>0</v>
      </c>
      <c r="I56" s="688"/>
      <c r="J56" s="688"/>
      <c r="K56" s="688">
        <f t="shared" si="0"/>
        <v>2026</v>
      </c>
      <c r="L56" s="688"/>
    </row>
    <row r="57" spans="1:12" x14ac:dyDescent="0.25">
      <c r="A57" s="477">
        <v>42845</v>
      </c>
      <c r="B57" s="579">
        <v>46346</v>
      </c>
      <c r="C57" s="746">
        <f t="shared" si="1"/>
        <v>31</v>
      </c>
      <c r="D57" s="747">
        <f t="shared" si="7"/>
        <v>0</v>
      </c>
      <c r="E57" s="747">
        <f t="shared" si="8"/>
        <v>0</v>
      </c>
      <c r="F57" s="748">
        <f t="shared" si="3"/>
        <v>0</v>
      </c>
      <c r="G57" s="747">
        <f t="shared" si="4"/>
        <v>0</v>
      </c>
      <c r="H57" s="750">
        <f t="shared" si="5"/>
        <v>0</v>
      </c>
      <c r="I57" s="688"/>
      <c r="J57" s="688"/>
      <c r="K57" s="688">
        <f t="shared" si="0"/>
        <v>2026</v>
      </c>
      <c r="L57" s="688"/>
    </row>
    <row r="58" spans="1:12" ht="15.75" thickBot="1" x14ac:dyDescent="0.3">
      <c r="A58" s="478">
        <v>42875</v>
      </c>
      <c r="B58" s="765">
        <v>46376</v>
      </c>
      <c r="C58" s="746">
        <f t="shared" si="1"/>
        <v>30</v>
      </c>
      <c r="D58" s="747">
        <f t="shared" si="7"/>
        <v>0</v>
      </c>
      <c r="E58" s="747">
        <f t="shared" si="8"/>
        <v>0</v>
      </c>
      <c r="F58" s="748">
        <f t="shared" si="3"/>
        <v>0</v>
      </c>
      <c r="G58" s="747">
        <f t="shared" si="4"/>
        <v>0</v>
      </c>
      <c r="H58" s="750">
        <f t="shared" si="5"/>
        <v>0</v>
      </c>
      <c r="I58" s="688"/>
      <c r="J58" s="688"/>
      <c r="K58" s="688">
        <f t="shared" si="0"/>
        <v>2026</v>
      </c>
      <c r="L58" s="688"/>
    </row>
    <row r="59" spans="1:12" x14ac:dyDescent="0.25">
      <c r="A59" s="477">
        <v>42906</v>
      </c>
      <c r="B59" s="579">
        <v>46407</v>
      </c>
      <c r="C59" s="746">
        <f>B59-B58</f>
        <v>31</v>
      </c>
      <c r="D59" s="747">
        <f t="shared" si="7"/>
        <v>0</v>
      </c>
      <c r="E59" s="747">
        <f t="shared" si="8"/>
        <v>0</v>
      </c>
      <c r="F59" s="748">
        <f>F58-D59</f>
        <v>0</v>
      </c>
      <c r="G59" s="747">
        <f t="shared" si="4"/>
        <v>0</v>
      </c>
      <c r="H59" s="750">
        <f t="shared" si="5"/>
        <v>0</v>
      </c>
      <c r="I59" s="688"/>
      <c r="J59" s="688"/>
      <c r="K59" s="688">
        <f t="shared" si="0"/>
        <v>2027</v>
      </c>
      <c r="L59" s="688"/>
    </row>
    <row r="60" spans="1:12" ht="15.75" thickBot="1" x14ac:dyDescent="0.3">
      <c r="A60" s="478">
        <v>42936</v>
      </c>
      <c r="B60" s="765">
        <v>46438</v>
      </c>
      <c r="C60" s="746">
        <f>B60-B59</f>
        <v>31</v>
      </c>
      <c r="D60" s="747">
        <f t="shared" si="7"/>
        <v>0</v>
      </c>
      <c r="E60" s="747">
        <f t="shared" si="8"/>
        <v>0</v>
      </c>
      <c r="F60" s="748">
        <f>F59-D60</f>
        <v>0</v>
      </c>
      <c r="G60" s="747">
        <f>D60+E60</f>
        <v>0</v>
      </c>
      <c r="H60" s="750">
        <f t="shared" si="5"/>
        <v>0</v>
      </c>
      <c r="I60" s="688"/>
      <c r="J60" s="688"/>
      <c r="K60" s="688">
        <f t="shared" si="0"/>
        <v>2027</v>
      </c>
      <c r="L60" s="688"/>
    </row>
    <row r="61" spans="1:12" x14ac:dyDescent="0.25">
      <c r="A61" s="477">
        <v>42967</v>
      </c>
      <c r="B61" s="579">
        <v>46466</v>
      </c>
      <c r="C61" s="746">
        <f>B61-B60</f>
        <v>28</v>
      </c>
      <c r="D61" s="747">
        <f t="shared" si="7"/>
        <v>0</v>
      </c>
      <c r="E61" s="747">
        <f t="shared" si="8"/>
        <v>0</v>
      </c>
      <c r="F61" s="748">
        <f>F60-D61</f>
        <v>0</v>
      </c>
      <c r="G61" s="747">
        <f t="shared" si="4"/>
        <v>0</v>
      </c>
      <c r="H61" s="750">
        <f t="shared" si="5"/>
        <v>0</v>
      </c>
      <c r="I61" s="688"/>
      <c r="J61" s="688"/>
      <c r="K61" s="688">
        <f t="shared" si="0"/>
        <v>2027</v>
      </c>
      <c r="L61" s="688"/>
    </row>
    <row r="62" spans="1:12" ht="15.75" thickBot="1" x14ac:dyDescent="0.3">
      <c r="A62" s="478">
        <v>42998</v>
      </c>
      <c r="B62" s="765">
        <v>46497</v>
      </c>
      <c r="C62" s="746">
        <f t="shared" si="1"/>
        <v>31</v>
      </c>
      <c r="D62" s="747">
        <f t="shared" si="7"/>
        <v>0</v>
      </c>
      <c r="E62" s="747">
        <f t="shared" si="8"/>
        <v>0</v>
      </c>
      <c r="F62" s="748">
        <f t="shared" ref="F62:F102" si="9">F61-D62</f>
        <v>0</v>
      </c>
      <c r="G62" s="747">
        <f t="shared" si="4"/>
        <v>0</v>
      </c>
      <c r="H62" s="750">
        <f t="shared" si="5"/>
        <v>0</v>
      </c>
      <c r="I62" s="688"/>
      <c r="J62" s="688"/>
      <c r="K62" s="688">
        <f t="shared" si="0"/>
        <v>2027</v>
      </c>
      <c r="L62" s="688"/>
    </row>
    <row r="63" spans="1:12" x14ac:dyDescent="0.25">
      <c r="A63" s="477">
        <v>43028</v>
      </c>
      <c r="B63" s="579">
        <v>46527</v>
      </c>
      <c r="C63" s="746">
        <f t="shared" si="1"/>
        <v>30</v>
      </c>
      <c r="D63" s="747">
        <f t="shared" si="7"/>
        <v>0</v>
      </c>
      <c r="E63" s="747">
        <f t="shared" si="8"/>
        <v>0</v>
      </c>
      <c r="F63" s="748">
        <f t="shared" si="9"/>
        <v>0</v>
      </c>
      <c r="G63" s="747">
        <f t="shared" si="4"/>
        <v>0</v>
      </c>
      <c r="H63" s="750">
        <f t="shared" si="5"/>
        <v>0</v>
      </c>
      <c r="I63" s="688"/>
      <c r="J63" s="688"/>
      <c r="K63" s="688">
        <f t="shared" si="0"/>
        <v>2027</v>
      </c>
      <c r="L63" s="688"/>
    </row>
    <row r="64" spans="1:12" ht="15.75" thickBot="1" x14ac:dyDescent="0.3">
      <c r="A64" s="478">
        <v>43059</v>
      </c>
      <c r="B64" s="765">
        <v>46558</v>
      </c>
      <c r="C64" s="746">
        <f t="shared" si="1"/>
        <v>31</v>
      </c>
      <c r="D64" s="747">
        <f t="shared" si="7"/>
        <v>0</v>
      </c>
      <c r="E64" s="747">
        <f t="shared" si="8"/>
        <v>0</v>
      </c>
      <c r="F64" s="748">
        <f t="shared" si="9"/>
        <v>0</v>
      </c>
      <c r="G64" s="747">
        <f t="shared" si="4"/>
        <v>0</v>
      </c>
      <c r="H64" s="750">
        <f t="shared" si="5"/>
        <v>0</v>
      </c>
      <c r="I64" s="688"/>
      <c r="J64" s="688"/>
      <c r="K64" s="688">
        <f t="shared" si="0"/>
        <v>2027</v>
      </c>
      <c r="L64" s="688"/>
    </row>
    <row r="65" spans="1:12" x14ac:dyDescent="0.25">
      <c r="A65" s="477">
        <v>43089</v>
      </c>
      <c r="B65" s="579">
        <v>46588</v>
      </c>
      <c r="C65" s="746">
        <f t="shared" si="1"/>
        <v>30</v>
      </c>
      <c r="D65" s="747">
        <f t="shared" si="7"/>
        <v>0</v>
      </c>
      <c r="E65" s="747">
        <f t="shared" si="8"/>
        <v>0</v>
      </c>
      <c r="F65" s="748">
        <f t="shared" si="9"/>
        <v>0</v>
      </c>
      <c r="G65" s="747">
        <f t="shared" si="4"/>
        <v>0</v>
      </c>
      <c r="H65" s="750">
        <f t="shared" si="5"/>
        <v>0</v>
      </c>
      <c r="I65" s="688"/>
      <c r="J65" s="688"/>
      <c r="K65" s="688">
        <f t="shared" si="0"/>
        <v>2027</v>
      </c>
      <c r="L65" s="688"/>
    </row>
    <row r="66" spans="1:12" ht="15.75" thickBot="1" x14ac:dyDescent="0.3">
      <c r="A66" s="478">
        <v>43120</v>
      </c>
      <c r="B66" s="765">
        <v>46619</v>
      </c>
      <c r="C66" s="746">
        <f t="shared" si="1"/>
        <v>31</v>
      </c>
      <c r="D66" s="747">
        <f t="shared" si="7"/>
        <v>0</v>
      </c>
      <c r="E66" s="747">
        <f t="shared" si="8"/>
        <v>0</v>
      </c>
      <c r="F66" s="748">
        <f>F65-D66</f>
        <v>0</v>
      </c>
      <c r="G66" s="747">
        <f t="shared" si="4"/>
        <v>0</v>
      </c>
      <c r="H66" s="750">
        <f t="shared" si="5"/>
        <v>0</v>
      </c>
      <c r="I66" s="688"/>
      <c r="J66" s="688"/>
      <c r="K66" s="688">
        <f t="shared" si="0"/>
        <v>2027</v>
      </c>
      <c r="L66" s="688"/>
    </row>
    <row r="67" spans="1:12" x14ac:dyDescent="0.25">
      <c r="A67" s="477">
        <v>43151</v>
      </c>
      <c r="B67" s="579">
        <v>46650</v>
      </c>
      <c r="C67" s="746">
        <f t="shared" si="1"/>
        <v>31</v>
      </c>
      <c r="D67" s="747">
        <f t="shared" si="7"/>
        <v>0</v>
      </c>
      <c r="E67" s="747">
        <f t="shared" si="8"/>
        <v>0</v>
      </c>
      <c r="F67" s="748">
        <f t="shared" si="9"/>
        <v>0</v>
      </c>
      <c r="G67" s="747">
        <f t="shared" si="4"/>
        <v>0</v>
      </c>
      <c r="H67" s="750">
        <f t="shared" si="5"/>
        <v>0</v>
      </c>
      <c r="I67" s="745">
        <f>SUMIF(K$42:K$162,L67,D$42:D$162)</f>
        <v>0</v>
      </c>
      <c r="J67" s="745">
        <f>SUMIF(K$42:K$162,L67,E$42:E$162)</f>
        <v>0</v>
      </c>
      <c r="K67" s="688">
        <f t="shared" si="0"/>
        <v>2027</v>
      </c>
      <c r="L67" s="688">
        <f>L55+1</f>
        <v>2027</v>
      </c>
    </row>
    <row r="68" spans="1:12" ht="15.75" thickBot="1" x14ac:dyDescent="0.3">
      <c r="A68" s="478">
        <v>43179</v>
      </c>
      <c r="B68" s="765">
        <v>46680</v>
      </c>
      <c r="C68" s="746">
        <f t="shared" si="1"/>
        <v>30</v>
      </c>
      <c r="D68" s="747">
        <f t="shared" si="7"/>
        <v>0</v>
      </c>
      <c r="E68" s="747">
        <f t="shared" si="8"/>
        <v>0</v>
      </c>
      <c r="F68" s="748">
        <f t="shared" si="9"/>
        <v>0</v>
      </c>
      <c r="G68" s="747">
        <f t="shared" si="4"/>
        <v>0</v>
      </c>
      <c r="H68" s="750">
        <f t="shared" si="5"/>
        <v>0</v>
      </c>
      <c r="I68" s="688"/>
      <c r="J68" s="688"/>
      <c r="K68" s="688">
        <f t="shared" si="0"/>
        <v>2027</v>
      </c>
      <c r="L68" s="688"/>
    </row>
    <row r="69" spans="1:12" x14ac:dyDescent="0.25">
      <c r="A69" s="477">
        <v>43210</v>
      </c>
      <c r="B69" s="579">
        <v>46711</v>
      </c>
      <c r="C69" s="746">
        <f t="shared" si="1"/>
        <v>31</v>
      </c>
      <c r="D69" s="747">
        <f t="shared" si="7"/>
        <v>0</v>
      </c>
      <c r="E69" s="747">
        <f t="shared" si="8"/>
        <v>0</v>
      </c>
      <c r="F69" s="748">
        <f t="shared" si="9"/>
        <v>0</v>
      </c>
      <c r="G69" s="747">
        <f t="shared" si="4"/>
        <v>0</v>
      </c>
      <c r="H69" s="750">
        <f t="shared" si="5"/>
        <v>0</v>
      </c>
      <c r="I69" s="688"/>
      <c r="J69" s="688"/>
      <c r="K69" s="688">
        <f t="shared" si="0"/>
        <v>2027</v>
      </c>
      <c r="L69" s="688"/>
    </row>
    <row r="70" spans="1:12" ht="15.75" thickBot="1" x14ac:dyDescent="0.3">
      <c r="A70" s="478">
        <v>43240</v>
      </c>
      <c r="B70" s="765">
        <v>46741</v>
      </c>
      <c r="C70" s="746">
        <f t="shared" si="1"/>
        <v>30</v>
      </c>
      <c r="D70" s="747">
        <f t="shared" si="7"/>
        <v>0</v>
      </c>
      <c r="E70" s="747">
        <f t="shared" si="8"/>
        <v>0</v>
      </c>
      <c r="F70" s="748">
        <f t="shared" si="9"/>
        <v>0</v>
      </c>
      <c r="G70" s="747">
        <f t="shared" si="4"/>
        <v>0</v>
      </c>
      <c r="H70" s="750">
        <f t="shared" si="5"/>
        <v>0</v>
      </c>
      <c r="I70" s="688"/>
      <c r="J70" s="688"/>
      <c r="K70" s="688">
        <f t="shared" si="0"/>
        <v>2027</v>
      </c>
      <c r="L70" s="688"/>
    </row>
    <row r="71" spans="1:12" x14ac:dyDescent="0.25">
      <c r="A71" s="477">
        <v>43271</v>
      </c>
      <c r="B71" s="579">
        <v>46772</v>
      </c>
      <c r="C71" s="746">
        <f t="shared" si="1"/>
        <v>31</v>
      </c>
      <c r="D71" s="747">
        <f t="shared" si="7"/>
        <v>0</v>
      </c>
      <c r="E71" s="747">
        <f t="shared" si="8"/>
        <v>0</v>
      </c>
      <c r="F71" s="748">
        <f t="shared" si="9"/>
        <v>0</v>
      </c>
      <c r="G71" s="747">
        <f t="shared" si="4"/>
        <v>0</v>
      </c>
      <c r="H71" s="750">
        <f t="shared" si="5"/>
        <v>0</v>
      </c>
      <c r="I71" s="688"/>
      <c r="J71" s="688"/>
      <c r="K71" s="688">
        <f t="shared" si="0"/>
        <v>2028</v>
      </c>
      <c r="L71" s="688"/>
    </row>
    <row r="72" spans="1:12" ht="15.75" thickBot="1" x14ac:dyDescent="0.3">
      <c r="A72" s="478">
        <v>43301</v>
      </c>
      <c r="B72" s="765">
        <v>46803</v>
      </c>
      <c r="C72" s="746">
        <f t="shared" si="1"/>
        <v>31</v>
      </c>
      <c r="D72" s="747">
        <f t="shared" si="7"/>
        <v>0</v>
      </c>
      <c r="E72" s="747">
        <f t="shared" si="8"/>
        <v>0</v>
      </c>
      <c r="F72" s="748">
        <f t="shared" si="9"/>
        <v>0</v>
      </c>
      <c r="G72" s="747">
        <f t="shared" si="4"/>
        <v>0</v>
      </c>
      <c r="H72" s="750">
        <f t="shared" si="5"/>
        <v>0</v>
      </c>
      <c r="I72" s="688"/>
      <c r="J72" s="688"/>
      <c r="K72" s="688">
        <f t="shared" si="0"/>
        <v>2028</v>
      </c>
      <c r="L72" s="688"/>
    </row>
    <row r="73" spans="1:12" x14ac:dyDescent="0.25">
      <c r="A73" s="477">
        <v>43332</v>
      </c>
      <c r="B73" s="579">
        <v>46832</v>
      </c>
      <c r="C73" s="746">
        <f t="shared" si="1"/>
        <v>29</v>
      </c>
      <c r="D73" s="747">
        <f t="shared" si="7"/>
        <v>0</v>
      </c>
      <c r="E73" s="747">
        <f t="shared" si="8"/>
        <v>0</v>
      </c>
      <c r="F73" s="748">
        <f t="shared" si="9"/>
        <v>0</v>
      </c>
      <c r="G73" s="747">
        <f t="shared" si="4"/>
        <v>0</v>
      </c>
      <c r="H73" s="750">
        <f t="shared" si="5"/>
        <v>0</v>
      </c>
      <c r="I73" s="688"/>
      <c r="J73" s="688"/>
      <c r="K73" s="688">
        <f t="shared" si="0"/>
        <v>2028</v>
      </c>
      <c r="L73" s="688"/>
    </row>
    <row r="74" spans="1:12" ht="15.75" thickBot="1" x14ac:dyDescent="0.3">
      <c r="A74" s="478">
        <v>43363</v>
      </c>
      <c r="B74" s="765">
        <v>46863</v>
      </c>
      <c r="C74" s="746">
        <f t="shared" si="1"/>
        <v>31</v>
      </c>
      <c r="D74" s="747">
        <f t="shared" si="7"/>
        <v>0</v>
      </c>
      <c r="E74" s="747">
        <f t="shared" si="8"/>
        <v>0</v>
      </c>
      <c r="F74" s="748">
        <f t="shared" si="9"/>
        <v>0</v>
      </c>
      <c r="G74" s="747">
        <f t="shared" si="4"/>
        <v>0</v>
      </c>
      <c r="H74" s="750">
        <f t="shared" si="5"/>
        <v>0</v>
      </c>
      <c r="I74" s="688"/>
      <c r="J74" s="688"/>
      <c r="K74" s="688">
        <f t="shared" si="0"/>
        <v>2028</v>
      </c>
      <c r="L74" s="688"/>
    </row>
    <row r="75" spans="1:12" x14ac:dyDescent="0.25">
      <c r="A75" s="477">
        <v>43393</v>
      </c>
      <c r="B75" s="579">
        <v>46893</v>
      </c>
      <c r="C75" s="746">
        <f t="shared" si="1"/>
        <v>30</v>
      </c>
      <c r="D75" s="747">
        <f t="shared" si="7"/>
        <v>0</v>
      </c>
      <c r="E75" s="747">
        <f t="shared" si="8"/>
        <v>0</v>
      </c>
      <c r="F75" s="748">
        <f t="shared" si="9"/>
        <v>0</v>
      </c>
      <c r="G75" s="747">
        <f t="shared" si="4"/>
        <v>0</v>
      </c>
      <c r="H75" s="750">
        <f t="shared" si="5"/>
        <v>0</v>
      </c>
      <c r="I75" s="688"/>
      <c r="J75" s="688"/>
      <c r="K75" s="688">
        <f t="shared" si="0"/>
        <v>2028</v>
      </c>
      <c r="L75" s="688"/>
    </row>
    <row r="76" spans="1:12" ht="15.75" thickBot="1" x14ac:dyDescent="0.3">
      <c r="A76" s="478">
        <v>43424</v>
      </c>
      <c r="B76" s="765">
        <v>46924</v>
      </c>
      <c r="C76" s="746">
        <f t="shared" si="1"/>
        <v>31</v>
      </c>
      <c r="D76" s="747">
        <f t="shared" ref="D76:D107" si="10">IF(F75&lt;=0.1,0,$F$42/$G$39)</f>
        <v>0</v>
      </c>
      <c r="E76" s="747">
        <f t="shared" si="8"/>
        <v>0</v>
      </c>
      <c r="F76" s="748">
        <f t="shared" si="9"/>
        <v>0</v>
      </c>
      <c r="G76" s="747">
        <f t="shared" si="4"/>
        <v>0</v>
      </c>
      <c r="H76" s="750">
        <f t="shared" ref="H76:H107" si="11">$H$43</f>
        <v>0</v>
      </c>
      <c r="I76" s="688"/>
      <c r="J76" s="688"/>
      <c r="K76" s="688">
        <f t="shared" si="0"/>
        <v>2028</v>
      </c>
      <c r="L76" s="688"/>
    </row>
    <row r="77" spans="1:12" x14ac:dyDescent="0.25">
      <c r="A77" s="477">
        <v>43454</v>
      </c>
      <c r="B77" s="579">
        <v>46954</v>
      </c>
      <c r="C77" s="746">
        <f t="shared" si="1"/>
        <v>30</v>
      </c>
      <c r="D77" s="747">
        <f t="shared" si="10"/>
        <v>0</v>
      </c>
      <c r="E77" s="747">
        <f t="shared" si="8"/>
        <v>0</v>
      </c>
      <c r="F77" s="748">
        <f t="shared" si="9"/>
        <v>0</v>
      </c>
      <c r="G77" s="747">
        <f t="shared" si="4"/>
        <v>0</v>
      </c>
      <c r="H77" s="750">
        <f t="shared" si="11"/>
        <v>0</v>
      </c>
      <c r="I77" s="688"/>
      <c r="J77" s="688"/>
      <c r="K77" s="688">
        <f t="shared" si="0"/>
        <v>2028</v>
      </c>
      <c r="L77" s="688"/>
    </row>
    <row r="78" spans="1:12" ht="15.75" thickBot="1" x14ac:dyDescent="0.3">
      <c r="A78" s="478">
        <v>43485</v>
      </c>
      <c r="B78" s="765">
        <v>46985</v>
      </c>
      <c r="C78" s="746">
        <f t="shared" si="1"/>
        <v>31</v>
      </c>
      <c r="D78" s="747">
        <f t="shared" si="10"/>
        <v>0</v>
      </c>
      <c r="E78" s="747">
        <f t="shared" si="8"/>
        <v>0</v>
      </c>
      <c r="F78" s="748">
        <f>F77-D78</f>
        <v>0</v>
      </c>
      <c r="G78" s="747">
        <f t="shared" si="4"/>
        <v>0</v>
      </c>
      <c r="H78" s="750">
        <f t="shared" si="11"/>
        <v>0</v>
      </c>
      <c r="I78" s="688"/>
      <c r="J78" s="688"/>
      <c r="K78" s="688">
        <f t="shared" si="0"/>
        <v>2028</v>
      </c>
      <c r="L78" s="688"/>
    </row>
    <row r="79" spans="1:12" x14ac:dyDescent="0.25">
      <c r="A79" s="477">
        <v>43516</v>
      </c>
      <c r="B79" s="579">
        <v>47016</v>
      </c>
      <c r="C79" s="746">
        <f t="shared" si="1"/>
        <v>31</v>
      </c>
      <c r="D79" s="747">
        <f t="shared" si="10"/>
        <v>0</v>
      </c>
      <c r="E79" s="747">
        <f t="shared" si="8"/>
        <v>0</v>
      </c>
      <c r="F79" s="748">
        <f t="shared" si="9"/>
        <v>0</v>
      </c>
      <c r="G79" s="747">
        <f t="shared" si="4"/>
        <v>0</v>
      </c>
      <c r="H79" s="750">
        <f t="shared" si="11"/>
        <v>0</v>
      </c>
      <c r="I79" s="745">
        <f>SUMIF(K$42:K$162,L79,D$42:D$162)</f>
        <v>0</v>
      </c>
      <c r="J79" s="745">
        <f>SUMIF(K$42:K$162,L79,E$42:E$162)</f>
        <v>0</v>
      </c>
      <c r="K79" s="688">
        <f t="shared" si="0"/>
        <v>2028</v>
      </c>
      <c r="L79" s="688">
        <f>L67+1</f>
        <v>2028</v>
      </c>
    </row>
    <row r="80" spans="1:12" ht="15.75" thickBot="1" x14ac:dyDescent="0.3">
      <c r="A80" s="478">
        <v>43544</v>
      </c>
      <c r="B80" s="765">
        <v>47046</v>
      </c>
      <c r="C80" s="746">
        <f t="shared" si="1"/>
        <v>30</v>
      </c>
      <c r="D80" s="747">
        <f t="shared" si="10"/>
        <v>0</v>
      </c>
      <c r="E80" s="747">
        <f t="shared" si="8"/>
        <v>0</v>
      </c>
      <c r="F80" s="748">
        <f t="shared" si="9"/>
        <v>0</v>
      </c>
      <c r="G80" s="747">
        <f t="shared" si="4"/>
        <v>0</v>
      </c>
      <c r="H80" s="750">
        <f t="shared" si="11"/>
        <v>0</v>
      </c>
      <c r="I80" s="688"/>
      <c r="J80" s="688"/>
      <c r="K80" s="688">
        <f t="shared" si="0"/>
        <v>2028</v>
      </c>
      <c r="L80" s="688"/>
    </row>
    <row r="81" spans="1:12" x14ac:dyDescent="0.25">
      <c r="A81" s="477">
        <v>43575</v>
      </c>
      <c r="B81" s="579">
        <v>47077</v>
      </c>
      <c r="C81" s="746">
        <f t="shared" si="1"/>
        <v>31</v>
      </c>
      <c r="D81" s="747">
        <f t="shared" si="10"/>
        <v>0</v>
      </c>
      <c r="E81" s="747">
        <f t="shared" si="8"/>
        <v>0</v>
      </c>
      <c r="F81" s="748">
        <f t="shared" si="9"/>
        <v>0</v>
      </c>
      <c r="G81" s="747">
        <f t="shared" si="4"/>
        <v>0</v>
      </c>
      <c r="H81" s="750">
        <f t="shared" si="11"/>
        <v>0</v>
      </c>
      <c r="I81" s="688"/>
      <c r="J81" s="688"/>
      <c r="K81" s="688">
        <f t="shared" si="0"/>
        <v>2028</v>
      </c>
      <c r="L81" s="688"/>
    </row>
    <row r="82" spans="1:12" ht="15.75" thickBot="1" x14ac:dyDescent="0.3">
      <c r="A82" s="478">
        <v>43605</v>
      </c>
      <c r="B82" s="765">
        <v>47107</v>
      </c>
      <c r="C82" s="746">
        <f t="shared" si="1"/>
        <v>30</v>
      </c>
      <c r="D82" s="747">
        <f t="shared" si="10"/>
        <v>0</v>
      </c>
      <c r="E82" s="747">
        <f t="shared" si="8"/>
        <v>0</v>
      </c>
      <c r="F82" s="748">
        <f t="shared" si="9"/>
        <v>0</v>
      </c>
      <c r="G82" s="747">
        <f t="shared" si="4"/>
        <v>0</v>
      </c>
      <c r="H82" s="750">
        <f t="shared" si="11"/>
        <v>0</v>
      </c>
      <c r="I82" s="688"/>
      <c r="J82" s="688"/>
      <c r="K82" s="688">
        <f t="shared" si="0"/>
        <v>2028</v>
      </c>
      <c r="L82" s="688"/>
    </row>
    <row r="83" spans="1:12" x14ac:dyDescent="0.25">
      <c r="A83" s="477">
        <v>43636</v>
      </c>
      <c r="B83" s="579">
        <v>47138</v>
      </c>
      <c r="C83" s="746">
        <f t="shared" si="1"/>
        <v>31</v>
      </c>
      <c r="D83" s="747">
        <f t="shared" si="10"/>
        <v>0</v>
      </c>
      <c r="E83" s="747">
        <f t="shared" si="8"/>
        <v>0</v>
      </c>
      <c r="F83" s="748">
        <f t="shared" si="9"/>
        <v>0</v>
      </c>
      <c r="G83" s="747">
        <f t="shared" si="4"/>
        <v>0</v>
      </c>
      <c r="H83" s="750">
        <f t="shared" si="11"/>
        <v>0</v>
      </c>
      <c r="I83" s="688"/>
      <c r="J83" s="688"/>
      <c r="K83" s="688">
        <f t="shared" si="0"/>
        <v>2029</v>
      </c>
      <c r="L83" s="688"/>
    </row>
    <row r="84" spans="1:12" ht="15.75" thickBot="1" x14ac:dyDescent="0.3">
      <c r="A84" s="478">
        <v>43666</v>
      </c>
      <c r="B84" s="765">
        <v>47169</v>
      </c>
      <c r="C84" s="746">
        <f t="shared" si="1"/>
        <v>31</v>
      </c>
      <c r="D84" s="747">
        <f t="shared" si="10"/>
        <v>0</v>
      </c>
      <c r="E84" s="747">
        <f t="shared" si="8"/>
        <v>0</v>
      </c>
      <c r="F84" s="748">
        <f t="shared" si="9"/>
        <v>0</v>
      </c>
      <c r="G84" s="747">
        <f t="shared" si="4"/>
        <v>0</v>
      </c>
      <c r="H84" s="750">
        <f t="shared" si="11"/>
        <v>0</v>
      </c>
      <c r="I84" s="688"/>
      <c r="J84" s="688"/>
      <c r="K84" s="688">
        <f t="shared" si="0"/>
        <v>2029</v>
      </c>
      <c r="L84" s="688"/>
    </row>
    <row r="85" spans="1:12" x14ac:dyDescent="0.25">
      <c r="A85" s="477">
        <v>43697</v>
      </c>
      <c r="B85" s="579">
        <v>47197</v>
      </c>
      <c r="C85" s="746">
        <f t="shared" si="1"/>
        <v>28</v>
      </c>
      <c r="D85" s="747">
        <f t="shared" si="10"/>
        <v>0</v>
      </c>
      <c r="E85" s="747">
        <f t="shared" si="8"/>
        <v>0</v>
      </c>
      <c r="F85" s="748">
        <f t="shared" si="9"/>
        <v>0</v>
      </c>
      <c r="G85" s="747">
        <f t="shared" si="4"/>
        <v>0</v>
      </c>
      <c r="H85" s="750">
        <f t="shared" si="11"/>
        <v>0</v>
      </c>
      <c r="I85" s="688"/>
      <c r="J85" s="688"/>
      <c r="K85" s="688">
        <f t="shared" si="0"/>
        <v>2029</v>
      </c>
      <c r="L85" s="688"/>
    </row>
    <row r="86" spans="1:12" ht="15.75" thickBot="1" x14ac:dyDescent="0.3">
      <c r="A86" s="478">
        <v>43728</v>
      </c>
      <c r="B86" s="765">
        <v>47228</v>
      </c>
      <c r="C86" s="746">
        <f t="shared" si="1"/>
        <v>31</v>
      </c>
      <c r="D86" s="747">
        <f t="shared" si="10"/>
        <v>0</v>
      </c>
      <c r="E86" s="747">
        <f t="shared" si="8"/>
        <v>0</v>
      </c>
      <c r="F86" s="748">
        <f t="shared" si="9"/>
        <v>0</v>
      </c>
      <c r="G86" s="747">
        <f t="shared" si="4"/>
        <v>0</v>
      </c>
      <c r="H86" s="750">
        <f t="shared" si="11"/>
        <v>0</v>
      </c>
      <c r="I86" s="688"/>
      <c r="J86" s="688"/>
      <c r="K86" s="688">
        <f t="shared" si="0"/>
        <v>2029</v>
      </c>
      <c r="L86" s="688"/>
    </row>
    <row r="87" spans="1:12" x14ac:dyDescent="0.25">
      <c r="A87" s="477">
        <v>43758</v>
      </c>
      <c r="B87" s="579">
        <v>47258</v>
      </c>
      <c r="C87" s="746">
        <f t="shared" si="1"/>
        <v>30</v>
      </c>
      <c r="D87" s="747">
        <f t="shared" si="10"/>
        <v>0</v>
      </c>
      <c r="E87" s="747">
        <f t="shared" si="8"/>
        <v>0</v>
      </c>
      <c r="F87" s="748">
        <f t="shared" si="9"/>
        <v>0</v>
      </c>
      <c r="G87" s="747">
        <f t="shared" si="4"/>
        <v>0</v>
      </c>
      <c r="H87" s="750">
        <f t="shared" si="11"/>
        <v>0</v>
      </c>
      <c r="I87" s="688"/>
      <c r="J87" s="688"/>
      <c r="K87" s="688">
        <f t="shared" si="0"/>
        <v>2029</v>
      </c>
      <c r="L87" s="688"/>
    </row>
    <row r="88" spans="1:12" ht="15.75" thickBot="1" x14ac:dyDescent="0.3">
      <c r="A88" s="478">
        <v>43789</v>
      </c>
      <c r="B88" s="765">
        <v>47289</v>
      </c>
      <c r="C88" s="746">
        <f t="shared" si="1"/>
        <v>31</v>
      </c>
      <c r="D88" s="747">
        <f t="shared" si="10"/>
        <v>0</v>
      </c>
      <c r="E88" s="747">
        <f t="shared" si="8"/>
        <v>0</v>
      </c>
      <c r="F88" s="748">
        <f t="shared" si="9"/>
        <v>0</v>
      </c>
      <c r="G88" s="747">
        <f t="shared" si="4"/>
        <v>0</v>
      </c>
      <c r="H88" s="750">
        <f t="shared" si="11"/>
        <v>0</v>
      </c>
      <c r="I88" s="688"/>
      <c r="J88" s="688"/>
      <c r="K88" s="688">
        <f t="shared" si="0"/>
        <v>2029</v>
      </c>
      <c r="L88" s="688"/>
    </row>
    <row r="89" spans="1:12" x14ac:dyDescent="0.25">
      <c r="A89" s="477">
        <v>43819</v>
      </c>
      <c r="B89" s="579">
        <v>47319</v>
      </c>
      <c r="C89" s="746">
        <f t="shared" si="1"/>
        <v>30</v>
      </c>
      <c r="D89" s="747">
        <f t="shared" si="10"/>
        <v>0</v>
      </c>
      <c r="E89" s="747">
        <f t="shared" si="8"/>
        <v>0</v>
      </c>
      <c r="F89" s="748">
        <f t="shared" si="9"/>
        <v>0</v>
      </c>
      <c r="G89" s="747">
        <f t="shared" si="4"/>
        <v>0</v>
      </c>
      <c r="H89" s="750">
        <f t="shared" si="11"/>
        <v>0</v>
      </c>
      <c r="I89" s="688"/>
      <c r="J89" s="688"/>
      <c r="K89" s="688">
        <f t="shared" si="0"/>
        <v>2029</v>
      </c>
      <c r="L89" s="688"/>
    </row>
    <row r="90" spans="1:12" ht="15.75" thickBot="1" x14ac:dyDescent="0.3">
      <c r="A90" s="478">
        <v>43850</v>
      </c>
      <c r="B90" s="765">
        <v>47350</v>
      </c>
      <c r="C90" s="746">
        <f t="shared" si="1"/>
        <v>31</v>
      </c>
      <c r="D90" s="747">
        <f t="shared" si="10"/>
        <v>0</v>
      </c>
      <c r="E90" s="747">
        <f t="shared" si="8"/>
        <v>0</v>
      </c>
      <c r="F90" s="748">
        <f t="shared" si="9"/>
        <v>0</v>
      </c>
      <c r="G90" s="747">
        <f t="shared" si="4"/>
        <v>0</v>
      </c>
      <c r="H90" s="750">
        <f t="shared" si="11"/>
        <v>0</v>
      </c>
      <c r="I90" s="688"/>
      <c r="J90" s="688"/>
      <c r="K90" s="688">
        <f t="shared" si="0"/>
        <v>2029</v>
      </c>
      <c r="L90" s="688"/>
    </row>
    <row r="91" spans="1:12" x14ac:dyDescent="0.25">
      <c r="A91" s="477">
        <v>43881</v>
      </c>
      <c r="B91" s="579">
        <v>47381</v>
      </c>
      <c r="C91" s="746">
        <f t="shared" si="1"/>
        <v>31</v>
      </c>
      <c r="D91" s="747">
        <f t="shared" si="10"/>
        <v>0</v>
      </c>
      <c r="E91" s="747">
        <f t="shared" si="8"/>
        <v>0</v>
      </c>
      <c r="F91" s="748">
        <f t="shared" si="9"/>
        <v>0</v>
      </c>
      <c r="G91" s="747">
        <f t="shared" si="4"/>
        <v>0</v>
      </c>
      <c r="H91" s="750">
        <f t="shared" si="11"/>
        <v>0</v>
      </c>
      <c r="I91" s="745">
        <f>SUMIF(K$42:K$162,L91,D$42:D$162)</f>
        <v>0</v>
      </c>
      <c r="J91" s="745">
        <f>SUMIF(K$42:K$162,L91,E$42:E$162)</f>
        <v>0</v>
      </c>
      <c r="K91" s="688">
        <f t="shared" si="0"/>
        <v>2029</v>
      </c>
      <c r="L91" s="688">
        <f>L79+1</f>
        <v>2029</v>
      </c>
    </row>
    <row r="92" spans="1:12" ht="15.75" thickBot="1" x14ac:dyDescent="0.3">
      <c r="A92" s="478">
        <v>43910</v>
      </c>
      <c r="B92" s="765">
        <v>47411</v>
      </c>
      <c r="C92" s="746">
        <f t="shared" si="1"/>
        <v>30</v>
      </c>
      <c r="D92" s="747">
        <f t="shared" si="10"/>
        <v>0</v>
      </c>
      <c r="E92" s="747">
        <f t="shared" si="8"/>
        <v>0</v>
      </c>
      <c r="F92" s="748">
        <f t="shared" si="9"/>
        <v>0</v>
      </c>
      <c r="G92" s="747">
        <f t="shared" si="4"/>
        <v>0</v>
      </c>
      <c r="H92" s="750">
        <f t="shared" si="11"/>
        <v>0</v>
      </c>
      <c r="I92" s="688"/>
      <c r="J92" s="688"/>
      <c r="K92" s="688">
        <f t="shared" si="0"/>
        <v>2029</v>
      </c>
      <c r="L92" s="688"/>
    </row>
    <row r="93" spans="1:12" x14ac:dyDescent="0.25">
      <c r="A93" s="477">
        <v>43941</v>
      </c>
      <c r="B93" s="579">
        <v>47442</v>
      </c>
      <c r="C93" s="746">
        <f t="shared" si="1"/>
        <v>31</v>
      </c>
      <c r="D93" s="747">
        <f t="shared" si="10"/>
        <v>0</v>
      </c>
      <c r="E93" s="747">
        <f t="shared" si="8"/>
        <v>0</v>
      </c>
      <c r="F93" s="748">
        <f t="shared" si="9"/>
        <v>0</v>
      </c>
      <c r="G93" s="747">
        <f t="shared" si="4"/>
        <v>0</v>
      </c>
      <c r="H93" s="750">
        <f t="shared" si="11"/>
        <v>0</v>
      </c>
      <c r="I93" s="688"/>
      <c r="J93" s="688"/>
      <c r="K93" s="688">
        <f t="shared" si="0"/>
        <v>2029</v>
      </c>
      <c r="L93" s="688"/>
    </row>
    <row r="94" spans="1:12" ht="15.75" thickBot="1" x14ac:dyDescent="0.3">
      <c r="A94" s="478">
        <v>43971</v>
      </c>
      <c r="B94" s="765">
        <v>47472</v>
      </c>
      <c r="C94" s="746">
        <f t="shared" si="1"/>
        <v>30</v>
      </c>
      <c r="D94" s="747">
        <f t="shared" si="10"/>
        <v>0</v>
      </c>
      <c r="E94" s="747">
        <f t="shared" si="8"/>
        <v>0</v>
      </c>
      <c r="F94" s="748">
        <f t="shared" si="9"/>
        <v>0</v>
      </c>
      <c r="G94" s="747">
        <f t="shared" si="4"/>
        <v>0</v>
      </c>
      <c r="H94" s="750">
        <f t="shared" si="11"/>
        <v>0</v>
      </c>
      <c r="I94" s="688"/>
      <c r="J94" s="688"/>
      <c r="K94" s="688">
        <f t="shared" si="0"/>
        <v>2029</v>
      </c>
      <c r="L94" s="688"/>
    </row>
    <row r="95" spans="1:12" x14ac:dyDescent="0.25">
      <c r="A95" s="477">
        <v>44002</v>
      </c>
      <c r="B95" s="579">
        <v>47503</v>
      </c>
      <c r="C95" s="746">
        <f t="shared" si="1"/>
        <v>31</v>
      </c>
      <c r="D95" s="747">
        <f t="shared" si="10"/>
        <v>0</v>
      </c>
      <c r="E95" s="747">
        <f t="shared" si="8"/>
        <v>0</v>
      </c>
      <c r="F95" s="748">
        <f t="shared" si="9"/>
        <v>0</v>
      </c>
      <c r="G95" s="747">
        <f t="shared" si="4"/>
        <v>0</v>
      </c>
      <c r="H95" s="750">
        <f t="shared" si="11"/>
        <v>0</v>
      </c>
      <c r="I95" s="688"/>
      <c r="J95" s="688"/>
      <c r="K95" s="688">
        <f t="shared" si="0"/>
        <v>2030</v>
      </c>
      <c r="L95" s="688"/>
    </row>
    <row r="96" spans="1:12" ht="15.75" thickBot="1" x14ac:dyDescent="0.3">
      <c r="A96" s="478">
        <v>44032</v>
      </c>
      <c r="B96" s="765">
        <v>47534</v>
      </c>
      <c r="C96" s="746">
        <f t="shared" si="1"/>
        <v>31</v>
      </c>
      <c r="D96" s="747">
        <f t="shared" si="10"/>
        <v>0</v>
      </c>
      <c r="E96" s="747">
        <f t="shared" si="8"/>
        <v>0</v>
      </c>
      <c r="F96" s="748">
        <f t="shared" si="9"/>
        <v>0</v>
      </c>
      <c r="G96" s="747">
        <f t="shared" si="4"/>
        <v>0</v>
      </c>
      <c r="H96" s="750">
        <f t="shared" si="11"/>
        <v>0</v>
      </c>
      <c r="I96" s="688"/>
      <c r="J96" s="688"/>
      <c r="K96" s="688">
        <f t="shared" si="0"/>
        <v>2030</v>
      </c>
      <c r="L96" s="688"/>
    </row>
    <row r="97" spans="1:12" x14ac:dyDescent="0.25">
      <c r="A97" s="477">
        <v>44063</v>
      </c>
      <c r="B97" s="579">
        <v>47562</v>
      </c>
      <c r="C97" s="746">
        <f t="shared" si="1"/>
        <v>28</v>
      </c>
      <c r="D97" s="747">
        <f t="shared" si="10"/>
        <v>0</v>
      </c>
      <c r="E97" s="747">
        <f t="shared" si="8"/>
        <v>0</v>
      </c>
      <c r="F97" s="748">
        <f t="shared" si="9"/>
        <v>0</v>
      </c>
      <c r="G97" s="747">
        <f t="shared" si="4"/>
        <v>0</v>
      </c>
      <c r="H97" s="750">
        <f t="shared" si="11"/>
        <v>0</v>
      </c>
      <c r="I97" s="688"/>
      <c r="J97" s="688"/>
      <c r="K97" s="688">
        <f t="shared" si="0"/>
        <v>2030</v>
      </c>
      <c r="L97" s="688"/>
    </row>
    <row r="98" spans="1:12" ht="15.75" thickBot="1" x14ac:dyDescent="0.3">
      <c r="A98" s="478">
        <v>44094</v>
      </c>
      <c r="B98" s="765">
        <v>47593</v>
      </c>
      <c r="C98" s="746">
        <f t="shared" si="1"/>
        <v>31</v>
      </c>
      <c r="D98" s="747">
        <f t="shared" si="10"/>
        <v>0</v>
      </c>
      <c r="E98" s="747">
        <f t="shared" si="8"/>
        <v>0</v>
      </c>
      <c r="F98" s="748">
        <f t="shared" si="9"/>
        <v>0</v>
      </c>
      <c r="G98" s="747">
        <f t="shared" si="4"/>
        <v>0</v>
      </c>
      <c r="H98" s="750">
        <f t="shared" si="11"/>
        <v>0</v>
      </c>
      <c r="I98" s="688"/>
      <c r="J98" s="688"/>
      <c r="K98" s="688">
        <f t="shared" si="0"/>
        <v>2030</v>
      </c>
      <c r="L98" s="688"/>
    </row>
    <row r="99" spans="1:12" x14ac:dyDescent="0.25">
      <c r="A99" s="477">
        <v>44124</v>
      </c>
      <c r="B99" s="579">
        <v>47623</v>
      </c>
      <c r="C99" s="746">
        <f t="shared" si="1"/>
        <v>30</v>
      </c>
      <c r="D99" s="747">
        <f t="shared" si="10"/>
        <v>0</v>
      </c>
      <c r="E99" s="747">
        <f t="shared" si="8"/>
        <v>0</v>
      </c>
      <c r="F99" s="748">
        <f t="shared" si="9"/>
        <v>0</v>
      </c>
      <c r="G99" s="747">
        <f t="shared" si="4"/>
        <v>0</v>
      </c>
      <c r="H99" s="750">
        <f t="shared" si="11"/>
        <v>0</v>
      </c>
      <c r="I99" s="688"/>
      <c r="J99" s="688"/>
      <c r="K99" s="688">
        <f t="shared" si="0"/>
        <v>2030</v>
      </c>
      <c r="L99" s="688"/>
    </row>
    <row r="100" spans="1:12" ht="15.75" thickBot="1" x14ac:dyDescent="0.3">
      <c r="A100" s="478">
        <v>44155</v>
      </c>
      <c r="B100" s="765">
        <v>47654</v>
      </c>
      <c r="C100" s="746">
        <f t="shared" si="1"/>
        <v>31</v>
      </c>
      <c r="D100" s="747">
        <f t="shared" si="10"/>
        <v>0</v>
      </c>
      <c r="E100" s="747">
        <f t="shared" si="8"/>
        <v>0</v>
      </c>
      <c r="F100" s="748">
        <f t="shared" si="9"/>
        <v>0</v>
      </c>
      <c r="G100" s="747">
        <f t="shared" si="4"/>
        <v>0</v>
      </c>
      <c r="H100" s="750">
        <f t="shared" si="11"/>
        <v>0</v>
      </c>
      <c r="I100" s="688"/>
      <c r="J100" s="688"/>
      <c r="K100" s="688">
        <f t="shared" si="0"/>
        <v>2030</v>
      </c>
      <c r="L100" s="688"/>
    </row>
    <row r="101" spans="1:12" x14ac:dyDescent="0.25">
      <c r="A101" s="477">
        <v>44185</v>
      </c>
      <c r="B101" s="579">
        <v>47684</v>
      </c>
      <c r="C101" s="746">
        <f t="shared" si="1"/>
        <v>30</v>
      </c>
      <c r="D101" s="747">
        <f t="shared" si="10"/>
        <v>0</v>
      </c>
      <c r="E101" s="747">
        <f t="shared" si="8"/>
        <v>0</v>
      </c>
      <c r="F101" s="748">
        <f t="shared" si="9"/>
        <v>0</v>
      </c>
      <c r="G101" s="747">
        <f t="shared" si="4"/>
        <v>0</v>
      </c>
      <c r="H101" s="750">
        <f t="shared" si="11"/>
        <v>0</v>
      </c>
      <c r="I101" s="688"/>
      <c r="J101" s="688"/>
      <c r="K101" s="688">
        <f t="shared" si="0"/>
        <v>2030</v>
      </c>
      <c r="L101" s="688"/>
    </row>
    <row r="102" spans="1:12" ht="15.75" thickBot="1" x14ac:dyDescent="0.3">
      <c r="A102" s="478">
        <v>44216</v>
      </c>
      <c r="B102" s="765">
        <v>47715</v>
      </c>
      <c r="C102" s="746">
        <f t="shared" si="1"/>
        <v>31</v>
      </c>
      <c r="D102" s="747">
        <f t="shared" si="10"/>
        <v>0</v>
      </c>
      <c r="E102" s="747">
        <f t="shared" si="8"/>
        <v>0</v>
      </c>
      <c r="F102" s="748">
        <f t="shared" si="9"/>
        <v>0</v>
      </c>
      <c r="G102" s="747">
        <f t="shared" si="4"/>
        <v>0</v>
      </c>
      <c r="H102" s="750">
        <f t="shared" si="11"/>
        <v>0</v>
      </c>
      <c r="I102" s="745">
        <f>I42+I55+I67+I79+I91+I43</f>
        <v>0</v>
      </c>
      <c r="J102" s="745">
        <f>J43+J55+J67+J79+J91</f>
        <v>0</v>
      </c>
      <c r="K102" s="688">
        <f t="shared" si="0"/>
        <v>2030</v>
      </c>
      <c r="L102" s="688"/>
    </row>
    <row r="103" spans="1:12" x14ac:dyDescent="0.25">
      <c r="A103" s="477">
        <v>44247</v>
      </c>
      <c r="B103" s="579">
        <v>47746</v>
      </c>
      <c r="C103" s="746">
        <f>B103-B102</f>
        <v>31</v>
      </c>
      <c r="D103" s="747">
        <f t="shared" si="10"/>
        <v>0</v>
      </c>
      <c r="E103" s="747">
        <f t="shared" si="8"/>
        <v>0</v>
      </c>
      <c r="F103" s="748">
        <f>F102-D103</f>
        <v>0</v>
      </c>
      <c r="G103" s="747">
        <f>D103+E103</f>
        <v>0</v>
      </c>
      <c r="H103" s="750">
        <f t="shared" si="11"/>
        <v>0</v>
      </c>
      <c r="I103" s="745">
        <f>SUMIF(K$42:K$162,L103,D$42:D$162)</f>
        <v>0</v>
      </c>
      <c r="J103" s="745">
        <f>SUMIF(K$42:K$162,L103,E$42:E$162)</f>
        <v>0</v>
      </c>
      <c r="K103" s="688">
        <f t="shared" si="0"/>
        <v>2030</v>
      </c>
      <c r="L103" s="688">
        <f>L91+1</f>
        <v>2030</v>
      </c>
    </row>
    <row r="104" spans="1:12" ht="15.75" thickBot="1" x14ac:dyDescent="0.3">
      <c r="A104" s="478">
        <v>44275</v>
      </c>
      <c r="B104" s="765">
        <v>47776</v>
      </c>
      <c r="C104" s="746">
        <f t="shared" ref="C104:C118" si="12">B104-B103</f>
        <v>30</v>
      </c>
      <c r="D104" s="747">
        <f t="shared" si="10"/>
        <v>0</v>
      </c>
      <c r="E104" s="747">
        <f t="shared" si="8"/>
        <v>0</v>
      </c>
      <c r="F104" s="748">
        <f t="shared" ref="F104" si="13">F103-D104</f>
        <v>0</v>
      </c>
      <c r="G104" s="747">
        <f t="shared" ref="G104:G119" si="14">D104+E104</f>
        <v>0</v>
      </c>
      <c r="H104" s="750">
        <f t="shared" si="11"/>
        <v>0</v>
      </c>
      <c r="I104" s="688"/>
      <c r="J104" s="688"/>
      <c r="K104" s="688">
        <f t="shared" si="0"/>
        <v>2030</v>
      </c>
      <c r="L104" s="688"/>
    </row>
    <row r="105" spans="1:12" x14ac:dyDescent="0.25">
      <c r="A105" s="477">
        <v>44306</v>
      </c>
      <c r="B105" s="579">
        <v>47807</v>
      </c>
      <c r="C105" s="746">
        <f t="shared" si="12"/>
        <v>31</v>
      </c>
      <c r="D105" s="747">
        <f t="shared" si="10"/>
        <v>0</v>
      </c>
      <c r="E105" s="747">
        <f t="shared" si="8"/>
        <v>0</v>
      </c>
      <c r="F105" s="748">
        <f>F104-D105</f>
        <v>0</v>
      </c>
      <c r="G105" s="747">
        <f t="shared" si="14"/>
        <v>0</v>
      </c>
      <c r="H105" s="750">
        <f t="shared" si="11"/>
        <v>0</v>
      </c>
      <c r="I105" s="688"/>
      <c r="J105" s="688"/>
      <c r="K105" s="688">
        <f t="shared" si="0"/>
        <v>2030</v>
      </c>
      <c r="L105" s="688"/>
    </row>
    <row r="106" spans="1:12" ht="15.75" thickBot="1" x14ac:dyDescent="0.3">
      <c r="A106" s="478">
        <v>44336</v>
      </c>
      <c r="B106" s="765">
        <v>47837</v>
      </c>
      <c r="C106" s="746">
        <f t="shared" si="12"/>
        <v>30</v>
      </c>
      <c r="D106" s="747">
        <f t="shared" si="10"/>
        <v>0</v>
      </c>
      <c r="E106" s="747">
        <f t="shared" si="8"/>
        <v>0</v>
      </c>
      <c r="F106" s="748">
        <f t="shared" ref="F106" si="15">F105-D106</f>
        <v>0</v>
      </c>
      <c r="G106" s="747">
        <f t="shared" si="14"/>
        <v>0</v>
      </c>
      <c r="H106" s="750">
        <f t="shared" si="11"/>
        <v>0</v>
      </c>
      <c r="I106" s="688"/>
      <c r="J106" s="688"/>
      <c r="K106" s="688">
        <f t="shared" si="0"/>
        <v>2030</v>
      </c>
      <c r="L106" s="688"/>
    </row>
    <row r="107" spans="1:12" x14ac:dyDescent="0.25">
      <c r="A107" s="477">
        <v>44367</v>
      </c>
      <c r="B107" s="579">
        <v>47868</v>
      </c>
      <c r="C107" s="746">
        <f t="shared" si="12"/>
        <v>31</v>
      </c>
      <c r="D107" s="747">
        <f t="shared" si="10"/>
        <v>0</v>
      </c>
      <c r="E107" s="747">
        <f t="shared" si="8"/>
        <v>0</v>
      </c>
      <c r="F107" s="748">
        <f>F106-D107</f>
        <v>0</v>
      </c>
      <c r="G107" s="747">
        <f t="shared" si="14"/>
        <v>0</v>
      </c>
      <c r="H107" s="750">
        <f t="shared" si="11"/>
        <v>0</v>
      </c>
      <c r="I107" s="688"/>
      <c r="J107" s="688"/>
      <c r="K107" s="688">
        <f t="shared" ref="K107:K163" si="16">YEAR(B107)</f>
        <v>2031</v>
      </c>
      <c r="L107" s="688"/>
    </row>
    <row r="108" spans="1:12" ht="15.75" thickBot="1" x14ac:dyDescent="0.3">
      <c r="A108" s="478">
        <v>44397</v>
      </c>
      <c r="B108" s="765">
        <v>47899</v>
      </c>
      <c r="C108" s="746">
        <f t="shared" si="12"/>
        <v>31</v>
      </c>
      <c r="D108" s="747">
        <f t="shared" ref="D108:D139" si="17">IF(F107&lt;=0.1,0,$F$42/$G$39)</f>
        <v>0</v>
      </c>
      <c r="E108" s="747">
        <f t="shared" ref="E108:E162" si="18">IF(D108&lt;0.1,0,(F107*C108*H108/36500))</f>
        <v>0</v>
      </c>
      <c r="F108" s="748">
        <f>F107-D108</f>
        <v>0</v>
      </c>
      <c r="G108" s="747">
        <f t="shared" si="14"/>
        <v>0</v>
      </c>
      <c r="H108" s="750">
        <f t="shared" ref="H108:H139" si="19">$H$43</f>
        <v>0</v>
      </c>
      <c r="I108" s="688"/>
      <c r="J108" s="688"/>
      <c r="K108" s="688">
        <f t="shared" si="16"/>
        <v>2031</v>
      </c>
      <c r="L108" s="688"/>
    </row>
    <row r="109" spans="1:12" x14ac:dyDescent="0.25">
      <c r="A109" s="477">
        <v>44428</v>
      </c>
      <c r="B109" s="579">
        <v>47927</v>
      </c>
      <c r="C109" s="746">
        <f t="shared" si="12"/>
        <v>28</v>
      </c>
      <c r="D109" s="747">
        <f t="shared" si="17"/>
        <v>0</v>
      </c>
      <c r="E109" s="747">
        <f t="shared" si="18"/>
        <v>0</v>
      </c>
      <c r="F109" s="748">
        <f t="shared" ref="F109:F113" si="20">F108-D109</f>
        <v>0</v>
      </c>
      <c r="G109" s="747">
        <f t="shared" si="14"/>
        <v>0</v>
      </c>
      <c r="H109" s="750">
        <f t="shared" si="19"/>
        <v>0</v>
      </c>
      <c r="I109" s="688"/>
      <c r="J109" s="688"/>
      <c r="K109" s="688">
        <f t="shared" si="16"/>
        <v>2031</v>
      </c>
      <c r="L109" s="688"/>
    </row>
    <row r="110" spans="1:12" ht="15.75" thickBot="1" x14ac:dyDescent="0.3">
      <c r="A110" s="478">
        <v>44459</v>
      </c>
      <c r="B110" s="765">
        <v>47958</v>
      </c>
      <c r="C110" s="746">
        <f t="shared" si="12"/>
        <v>31</v>
      </c>
      <c r="D110" s="747">
        <f t="shared" si="17"/>
        <v>0</v>
      </c>
      <c r="E110" s="747">
        <f t="shared" si="18"/>
        <v>0</v>
      </c>
      <c r="F110" s="748">
        <f t="shared" si="20"/>
        <v>0</v>
      </c>
      <c r="G110" s="747">
        <f t="shared" si="14"/>
        <v>0</v>
      </c>
      <c r="H110" s="750">
        <f t="shared" si="19"/>
        <v>0</v>
      </c>
      <c r="I110" s="688"/>
      <c r="J110" s="688"/>
      <c r="K110" s="688">
        <f t="shared" si="16"/>
        <v>2031</v>
      </c>
      <c r="L110" s="688"/>
    </row>
    <row r="111" spans="1:12" x14ac:dyDescent="0.25">
      <c r="A111" s="477">
        <v>44489</v>
      </c>
      <c r="B111" s="579">
        <v>47988</v>
      </c>
      <c r="C111" s="746">
        <f t="shared" si="12"/>
        <v>30</v>
      </c>
      <c r="D111" s="747">
        <f t="shared" si="17"/>
        <v>0</v>
      </c>
      <c r="E111" s="747">
        <f t="shared" si="18"/>
        <v>0</v>
      </c>
      <c r="F111" s="748">
        <f t="shared" si="20"/>
        <v>0</v>
      </c>
      <c r="G111" s="747">
        <f t="shared" si="14"/>
        <v>0</v>
      </c>
      <c r="H111" s="750">
        <f t="shared" si="19"/>
        <v>0</v>
      </c>
      <c r="I111" s="688"/>
      <c r="J111" s="688"/>
      <c r="K111" s="688">
        <f t="shared" si="16"/>
        <v>2031</v>
      </c>
      <c r="L111" s="688"/>
    </row>
    <row r="112" spans="1:12" ht="15.75" thickBot="1" x14ac:dyDescent="0.3">
      <c r="A112" s="478">
        <v>44520</v>
      </c>
      <c r="B112" s="765">
        <v>48019</v>
      </c>
      <c r="C112" s="746">
        <f t="shared" si="12"/>
        <v>31</v>
      </c>
      <c r="D112" s="747">
        <f t="shared" si="17"/>
        <v>0</v>
      </c>
      <c r="E112" s="747">
        <f t="shared" si="18"/>
        <v>0</v>
      </c>
      <c r="F112" s="748">
        <f t="shared" si="20"/>
        <v>0</v>
      </c>
      <c r="G112" s="747">
        <f t="shared" si="14"/>
        <v>0</v>
      </c>
      <c r="H112" s="750">
        <f t="shared" si="19"/>
        <v>0</v>
      </c>
      <c r="I112" s="688"/>
      <c r="J112" s="688"/>
      <c r="K112" s="688">
        <f t="shared" si="16"/>
        <v>2031</v>
      </c>
      <c r="L112" s="688"/>
    </row>
    <row r="113" spans="1:12" x14ac:dyDescent="0.25">
      <c r="A113" s="477">
        <v>44550</v>
      </c>
      <c r="B113" s="579">
        <v>48049</v>
      </c>
      <c r="C113" s="746">
        <f t="shared" si="12"/>
        <v>30</v>
      </c>
      <c r="D113" s="747">
        <f t="shared" si="17"/>
        <v>0</v>
      </c>
      <c r="E113" s="747">
        <f t="shared" si="18"/>
        <v>0</v>
      </c>
      <c r="F113" s="748">
        <f t="shared" si="20"/>
        <v>0</v>
      </c>
      <c r="G113" s="747">
        <f t="shared" si="14"/>
        <v>0</v>
      </c>
      <c r="H113" s="750">
        <f t="shared" si="19"/>
        <v>0</v>
      </c>
      <c r="I113" s="688"/>
      <c r="J113" s="688"/>
      <c r="K113" s="688">
        <f t="shared" si="16"/>
        <v>2031</v>
      </c>
      <c r="L113" s="688"/>
    </row>
    <row r="114" spans="1:12" ht="15.75" thickBot="1" x14ac:dyDescent="0.3">
      <c r="A114" s="478">
        <v>44581</v>
      </c>
      <c r="B114" s="765">
        <v>48080</v>
      </c>
      <c r="C114" s="746">
        <f t="shared" si="12"/>
        <v>31</v>
      </c>
      <c r="D114" s="747">
        <f t="shared" si="17"/>
        <v>0</v>
      </c>
      <c r="E114" s="747">
        <f t="shared" si="18"/>
        <v>0</v>
      </c>
      <c r="F114" s="748">
        <f>F113-D114</f>
        <v>0</v>
      </c>
      <c r="G114" s="747">
        <f t="shared" si="14"/>
        <v>0</v>
      </c>
      <c r="H114" s="750">
        <f t="shared" si="19"/>
        <v>0</v>
      </c>
      <c r="I114" s="745">
        <f>I102+I103</f>
        <v>0</v>
      </c>
      <c r="J114" s="745">
        <f>J102+J103</f>
        <v>0</v>
      </c>
      <c r="K114" s="688">
        <f t="shared" si="16"/>
        <v>2031</v>
      </c>
      <c r="L114" s="688"/>
    </row>
    <row r="115" spans="1:12" x14ac:dyDescent="0.25">
      <c r="A115" s="477">
        <v>44612</v>
      </c>
      <c r="B115" s="579">
        <v>48111</v>
      </c>
      <c r="C115" s="746">
        <f t="shared" si="12"/>
        <v>31</v>
      </c>
      <c r="D115" s="747">
        <f t="shared" si="17"/>
        <v>0</v>
      </c>
      <c r="E115" s="747">
        <f t="shared" si="18"/>
        <v>0</v>
      </c>
      <c r="F115" s="748">
        <f t="shared" ref="F115:F118" si="21">F114-D115</f>
        <v>0</v>
      </c>
      <c r="G115" s="747">
        <f t="shared" si="14"/>
        <v>0</v>
      </c>
      <c r="H115" s="750">
        <f t="shared" si="19"/>
        <v>0</v>
      </c>
      <c r="I115" s="745">
        <f>SUMIF(K$42:K$162,L115,D$42:D$162)</f>
        <v>0</v>
      </c>
      <c r="J115" s="745">
        <f>SUMIF(K$42:K$162,L115,E$42:E$162)</f>
        <v>0</v>
      </c>
      <c r="K115" s="688">
        <f t="shared" si="16"/>
        <v>2031</v>
      </c>
      <c r="L115" s="688">
        <f>L103+1</f>
        <v>2031</v>
      </c>
    </row>
    <row r="116" spans="1:12" ht="15.75" thickBot="1" x14ac:dyDescent="0.3">
      <c r="A116" s="478">
        <v>44640</v>
      </c>
      <c r="B116" s="765">
        <v>48141</v>
      </c>
      <c r="C116" s="746">
        <f t="shared" si="12"/>
        <v>30</v>
      </c>
      <c r="D116" s="747">
        <f t="shared" si="17"/>
        <v>0</v>
      </c>
      <c r="E116" s="747">
        <f t="shared" si="18"/>
        <v>0</v>
      </c>
      <c r="F116" s="748">
        <f t="shared" si="21"/>
        <v>0</v>
      </c>
      <c r="G116" s="747">
        <f t="shared" si="14"/>
        <v>0</v>
      </c>
      <c r="H116" s="750">
        <f t="shared" si="19"/>
        <v>0</v>
      </c>
      <c r="I116" s="745"/>
      <c r="J116" s="745"/>
      <c r="K116" s="688">
        <f t="shared" si="16"/>
        <v>2031</v>
      </c>
      <c r="L116" s="688"/>
    </row>
    <row r="117" spans="1:12" x14ac:dyDescent="0.25">
      <c r="A117" s="477">
        <v>44671</v>
      </c>
      <c r="B117" s="579">
        <v>48172</v>
      </c>
      <c r="C117" s="746">
        <f t="shared" si="12"/>
        <v>31</v>
      </c>
      <c r="D117" s="747">
        <f t="shared" si="17"/>
        <v>0</v>
      </c>
      <c r="E117" s="747">
        <f t="shared" si="18"/>
        <v>0</v>
      </c>
      <c r="F117" s="748">
        <f t="shared" si="21"/>
        <v>0</v>
      </c>
      <c r="G117" s="747">
        <f t="shared" si="14"/>
        <v>0</v>
      </c>
      <c r="H117" s="750">
        <f t="shared" si="19"/>
        <v>0</v>
      </c>
      <c r="I117" s="688"/>
      <c r="J117" s="688"/>
      <c r="K117" s="688">
        <f t="shared" si="16"/>
        <v>2031</v>
      </c>
      <c r="L117" s="688"/>
    </row>
    <row r="118" spans="1:12" ht="15.75" thickBot="1" x14ac:dyDescent="0.3">
      <c r="A118" s="478">
        <v>44701</v>
      </c>
      <c r="B118" s="765">
        <v>48202</v>
      </c>
      <c r="C118" s="746">
        <f t="shared" si="12"/>
        <v>30</v>
      </c>
      <c r="D118" s="747">
        <f t="shared" si="17"/>
        <v>0</v>
      </c>
      <c r="E118" s="747">
        <f t="shared" si="18"/>
        <v>0</v>
      </c>
      <c r="F118" s="748">
        <f t="shared" si="21"/>
        <v>0</v>
      </c>
      <c r="G118" s="747">
        <f t="shared" si="14"/>
        <v>0</v>
      </c>
      <c r="H118" s="750">
        <f t="shared" si="19"/>
        <v>0</v>
      </c>
      <c r="I118" s="688"/>
      <c r="J118" s="688"/>
      <c r="K118" s="688">
        <f t="shared" si="16"/>
        <v>2031</v>
      </c>
      <c r="L118" s="688"/>
    </row>
    <row r="119" spans="1:12" x14ac:dyDescent="0.25">
      <c r="A119" s="477">
        <v>44732</v>
      </c>
      <c r="B119" s="579">
        <v>48233</v>
      </c>
      <c r="C119" s="746">
        <f>B119-B118</f>
        <v>31</v>
      </c>
      <c r="D119" s="747">
        <f t="shared" si="17"/>
        <v>0</v>
      </c>
      <c r="E119" s="747">
        <f t="shared" si="18"/>
        <v>0</v>
      </c>
      <c r="F119" s="748">
        <f>F118-D119</f>
        <v>0</v>
      </c>
      <c r="G119" s="747">
        <f t="shared" si="14"/>
        <v>0</v>
      </c>
      <c r="H119" s="750">
        <f t="shared" si="19"/>
        <v>0</v>
      </c>
      <c r="I119" s="688"/>
      <c r="J119" s="688"/>
      <c r="K119" s="688">
        <f t="shared" si="16"/>
        <v>2032</v>
      </c>
      <c r="L119" s="688"/>
    </row>
    <row r="120" spans="1:12" ht="15.75" thickBot="1" x14ac:dyDescent="0.3">
      <c r="A120" s="478">
        <v>44762</v>
      </c>
      <c r="B120" s="765">
        <v>48264</v>
      </c>
      <c r="C120" s="746">
        <f>B120-B119</f>
        <v>31</v>
      </c>
      <c r="D120" s="747">
        <f t="shared" si="17"/>
        <v>0</v>
      </c>
      <c r="E120" s="747">
        <f t="shared" si="18"/>
        <v>0</v>
      </c>
      <c r="F120" s="748">
        <f>F119-D120</f>
        <v>0</v>
      </c>
      <c r="G120" s="747">
        <f>D120+E120</f>
        <v>0</v>
      </c>
      <c r="H120" s="750">
        <f t="shared" si="19"/>
        <v>0</v>
      </c>
      <c r="I120" s="688"/>
      <c r="J120" s="688"/>
      <c r="K120" s="688">
        <f t="shared" si="16"/>
        <v>2032</v>
      </c>
      <c r="L120" s="688"/>
    </row>
    <row r="121" spans="1:12" x14ac:dyDescent="0.25">
      <c r="A121" s="477">
        <v>44793</v>
      </c>
      <c r="B121" s="579">
        <v>48293</v>
      </c>
      <c r="C121" s="746">
        <f>B121-B120</f>
        <v>29</v>
      </c>
      <c r="D121" s="747">
        <f t="shared" si="17"/>
        <v>0</v>
      </c>
      <c r="E121" s="747">
        <f t="shared" si="18"/>
        <v>0</v>
      </c>
      <c r="F121" s="748">
        <f>F120-D121</f>
        <v>0</v>
      </c>
      <c r="G121" s="747">
        <f t="shared" ref="G121:G162" si="22">D121+E121</f>
        <v>0</v>
      </c>
      <c r="H121" s="750">
        <f t="shared" si="19"/>
        <v>0</v>
      </c>
      <c r="I121" s="688"/>
      <c r="J121" s="688"/>
      <c r="K121" s="688">
        <f t="shared" si="16"/>
        <v>2032</v>
      </c>
      <c r="L121" s="688"/>
    </row>
    <row r="122" spans="1:12" ht="15.75" thickBot="1" x14ac:dyDescent="0.3">
      <c r="A122" s="478">
        <v>44824</v>
      </c>
      <c r="B122" s="765">
        <v>48324</v>
      </c>
      <c r="C122" s="746">
        <f t="shared" ref="C122:C162" si="23">B122-B121</f>
        <v>31</v>
      </c>
      <c r="D122" s="747">
        <f t="shared" si="17"/>
        <v>0</v>
      </c>
      <c r="E122" s="747">
        <f t="shared" si="18"/>
        <v>0</v>
      </c>
      <c r="F122" s="748">
        <f t="shared" ref="F122:F125" si="24">F121-D122</f>
        <v>0</v>
      </c>
      <c r="G122" s="747">
        <f t="shared" si="22"/>
        <v>0</v>
      </c>
      <c r="H122" s="750">
        <f t="shared" si="19"/>
        <v>0</v>
      </c>
      <c r="I122" s="688"/>
      <c r="J122" s="688"/>
      <c r="K122" s="688">
        <f t="shared" si="16"/>
        <v>2032</v>
      </c>
      <c r="L122" s="688"/>
    </row>
    <row r="123" spans="1:12" x14ac:dyDescent="0.25">
      <c r="A123" s="477">
        <v>44854</v>
      </c>
      <c r="B123" s="579">
        <v>48354</v>
      </c>
      <c r="C123" s="746">
        <f t="shared" si="23"/>
        <v>30</v>
      </c>
      <c r="D123" s="747">
        <f t="shared" si="17"/>
        <v>0</v>
      </c>
      <c r="E123" s="747">
        <f t="shared" si="18"/>
        <v>0</v>
      </c>
      <c r="F123" s="748">
        <f t="shared" si="24"/>
        <v>0</v>
      </c>
      <c r="G123" s="747">
        <f t="shared" si="22"/>
        <v>0</v>
      </c>
      <c r="H123" s="750">
        <f t="shared" si="19"/>
        <v>0</v>
      </c>
      <c r="I123" s="688"/>
      <c r="J123" s="688"/>
      <c r="K123" s="688">
        <f t="shared" si="16"/>
        <v>2032</v>
      </c>
      <c r="L123" s="688"/>
    </row>
    <row r="124" spans="1:12" ht="15.75" thickBot="1" x14ac:dyDescent="0.3">
      <c r="A124" s="478">
        <v>44885</v>
      </c>
      <c r="B124" s="765">
        <v>48385</v>
      </c>
      <c r="C124" s="746">
        <f t="shared" si="23"/>
        <v>31</v>
      </c>
      <c r="D124" s="747">
        <f t="shared" si="17"/>
        <v>0</v>
      </c>
      <c r="E124" s="747">
        <f t="shared" si="18"/>
        <v>0</v>
      </c>
      <c r="F124" s="748">
        <f t="shared" si="24"/>
        <v>0</v>
      </c>
      <c r="G124" s="747">
        <f t="shared" si="22"/>
        <v>0</v>
      </c>
      <c r="H124" s="750">
        <f t="shared" si="19"/>
        <v>0</v>
      </c>
      <c r="I124" s="688"/>
      <c r="J124" s="688"/>
      <c r="K124" s="688">
        <f t="shared" si="16"/>
        <v>2032</v>
      </c>
      <c r="L124" s="688"/>
    </row>
    <row r="125" spans="1:12" x14ac:dyDescent="0.25">
      <c r="A125" s="477">
        <v>44915</v>
      </c>
      <c r="B125" s="579">
        <v>48415</v>
      </c>
      <c r="C125" s="746">
        <f t="shared" si="23"/>
        <v>30</v>
      </c>
      <c r="D125" s="747">
        <f t="shared" si="17"/>
        <v>0</v>
      </c>
      <c r="E125" s="747">
        <f t="shared" si="18"/>
        <v>0</v>
      </c>
      <c r="F125" s="748">
        <f t="shared" si="24"/>
        <v>0</v>
      </c>
      <c r="G125" s="747">
        <f t="shared" si="22"/>
        <v>0</v>
      </c>
      <c r="H125" s="750">
        <f t="shared" si="19"/>
        <v>0</v>
      </c>
      <c r="I125" s="688"/>
      <c r="J125" s="688"/>
      <c r="K125" s="688">
        <f t="shared" si="16"/>
        <v>2032</v>
      </c>
      <c r="L125" s="688"/>
    </row>
    <row r="126" spans="1:12" ht="15.75" thickBot="1" x14ac:dyDescent="0.3">
      <c r="A126" s="478">
        <v>44946</v>
      </c>
      <c r="B126" s="765">
        <v>48446</v>
      </c>
      <c r="C126" s="746">
        <f t="shared" si="23"/>
        <v>31</v>
      </c>
      <c r="D126" s="747">
        <f t="shared" si="17"/>
        <v>0</v>
      </c>
      <c r="E126" s="747">
        <f t="shared" si="18"/>
        <v>0</v>
      </c>
      <c r="F126" s="748">
        <f>F125-D126</f>
        <v>0</v>
      </c>
      <c r="G126" s="747">
        <f t="shared" si="22"/>
        <v>0</v>
      </c>
      <c r="H126" s="750">
        <f t="shared" si="19"/>
        <v>0</v>
      </c>
      <c r="I126" s="745">
        <f>I114+I115</f>
        <v>0</v>
      </c>
      <c r="J126" s="745">
        <f>J114+J115</f>
        <v>0</v>
      </c>
      <c r="K126" s="688">
        <f t="shared" si="16"/>
        <v>2032</v>
      </c>
      <c r="L126" s="688"/>
    </row>
    <row r="127" spans="1:12" x14ac:dyDescent="0.25">
      <c r="A127" s="477">
        <v>44977</v>
      </c>
      <c r="B127" s="579">
        <v>48477</v>
      </c>
      <c r="C127" s="746">
        <f t="shared" si="23"/>
        <v>31</v>
      </c>
      <c r="D127" s="747">
        <f t="shared" si="17"/>
        <v>0</v>
      </c>
      <c r="E127" s="747">
        <f t="shared" si="18"/>
        <v>0</v>
      </c>
      <c r="F127" s="748">
        <f t="shared" ref="F127:F137" si="25">F126-D127</f>
        <v>0</v>
      </c>
      <c r="G127" s="747">
        <f t="shared" si="22"/>
        <v>0</v>
      </c>
      <c r="H127" s="750">
        <f t="shared" si="19"/>
        <v>0</v>
      </c>
      <c r="I127" s="745">
        <f>SUMIF(K$42:K$162,L127,D$42:D$162)</f>
        <v>0</v>
      </c>
      <c r="J127" s="745">
        <f>SUMIF(K$42:K$162,L127,E$42:E$162)</f>
        <v>0</v>
      </c>
      <c r="K127" s="688">
        <f t="shared" si="16"/>
        <v>2032</v>
      </c>
      <c r="L127" s="688">
        <f>L115+1</f>
        <v>2032</v>
      </c>
    </row>
    <row r="128" spans="1:12" ht="15.75" thickBot="1" x14ac:dyDescent="0.3">
      <c r="A128" s="478">
        <v>45005</v>
      </c>
      <c r="B128" s="765">
        <v>48507</v>
      </c>
      <c r="C128" s="746">
        <f t="shared" si="23"/>
        <v>30</v>
      </c>
      <c r="D128" s="747">
        <f t="shared" si="17"/>
        <v>0</v>
      </c>
      <c r="E128" s="747">
        <f t="shared" si="18"/>
        <v>0</v>
      </c>
      <c r="F128" s="748">
        <f t="shared" si="25"/>
        <v>0</v>
      </c>
      <c r="G128" s="747">
        <f t="shared" si="22"/>
        <v>0</v>
      </c>
      <c r="H128" s="750">
        <f t="shared" si="19"/>
        <v>0</v>
      </c>
      <c r="I128" s="745"/>
      <c r="J128" s="745"/>
      <c r="K128" s="688">
        <f t="shared" si="16"/>
        <v>2032</v>
      </c>
      <c r="L128" s="688"/>
    </row>
    <row r="129" spans="1:12" x14ac:dyDescent="0.25">
      <c r="A129" s="477">
        <v>45036</v>
      </c>
      <c r="B129" s="579">
        <v>48538</v>
      </c>
      <c r="C129" s="746">
        <f t="shared" si="23"/>
        <v>31</v>
      </c>
      <c r="D129" s="747">
        <f t="shared" si="17"/>
        <v>0</v>
      </c>
      <c r="E129" s="747">
        <f t="shared" si="18"/>
        <v>0</v>
      </c>
      <c r="F129" s="748">
        <f t="shared" si="25"/>
        <v>0</v>
      </c>
      <c r="G129" s="747">
        <f t="shared" si="22"/>
        <v>0</v>
      </c>
      <c r="H129" s="750">
        <f t="shared" si="19"/>
        <v>0</v>
      </c>
      <c r="I129" s="688"/>
      <c r="J129" s="688"/>
      <c r="K129" s="688">
        <f t="shared" si="16"/>
        <v>2032</v>
      </c>
      <c r="L129" s="688"/>
    </row>
    <row r="130" spans="1:12" ht="15.75" thickBot="1" x14ac:dyDescent="0.3">
      <c r="A130" s="478">
        <v>45066</v>
      </c>
      <c r="B130" s="765">
        <v>48568</v>
      </c>
      <c r="C130" s="746">
        <f t="shared" si="23"/>
        <v>30</v>
      </c>
      <c r="D130" s="747">
        <f t="shared" si="17"/>
        <v>0</v>
      </c>
      <c r="E130" s="747">
        <f t="shared" si="18"/>
        <v>0</v>
      </c>
      <c r="F130" s="748">
        <f t="shared" si="25"/>
        <v>0</v>
      </c>
      <c r="G130" s="747">
        <f t="shared" si="22"/>
        <v>0</v>
      </c>
      <c r="H130" s="750">
        <f t="shared" si="19"/>
        <v>0</v>
      </c>
      <c r="I130" s="688"/>
      <c r="J130" s="688"/>
      <c r="K130" s="688">
        <f t="shared" si="16"/>
        <v>2032</v>
      </c>
      <c r="L130" s="688"/>
    </row>
    <row r="131" spans="1:12" x14ac:dyDescent="0.25">
      <c r="A131" s="477">
        <v>45097</v>
      </c>
      <c r="B131" s="579">
        <v>48599</v>
      </c>
      <c r="C131" s="746">
        <f t="shared" si="23"/>
        <v>31</v>
      </c>
      <c r="D131" s="747">
        <f t="shared" si="17"/>
        <v>0</v>
      </c>
      <c r="E131" s="747">
        <f t="shared" si="18"/>
        <v>0</v>
      </c>
      <c r="F131" s="748">
        <f t="shared" si="25"/>
        <v>0</v>
      </c>
      <c r="G131" s="747">
        <f t="shared" si="22"/>
        <v>0</v>
      </c>
      <c r="H131" s="750">
        <f t="shared" si="19"/>
        <v>0</v>
      </c>
      <c r="I131" s="688"/>
      <c r="J131" s="688"/>
      <c r="K131" s="688">
        <f t="shared" si="16"/>
        <v>2033</v>
      </c>
      <c r="L131" s="688"/>
    </row>
    <row r="132" spans="1:12" ht="15.75" thickBot="1" x14ac:dyDescent="0.3">
      <c r="A132" s="478">
        <v>45127</v>
      </c>
      <c r="B132" s="765">
        <v>48630</v>
      </c>
      <c r="C132" s="746">
        <f t="shared" si="23"/>
        <v>31</v>
      </c>
      <c r="D132" s="747">
        <f t="shared" si="17"/>
        <v>0</v>
      </c>
      <c r="E132" s="747">
        <f t="shared" si="18"/>
        <v>0</v>
      </c>
      <c r="F132" s="748">
        <f t="shared" si="25"/>
        <v>0</v>
      </c>
      <c r="G132" s="747">
        <f t="shared" si="22"/>
        <v>0</v>
      </c>
      <c r="H132" s="750">
        <f t="shared" si="19"/>
        <v>0</v>
      </c>
      <c r="I132" s="688"/>
      <c r="J132" s="688"/>
      <c r="K132" s="688">
        <f t="shared" si="16"/>
        <v>2033</v>
      </c>
      <c r="L132" s="688"/>
    </row>
    <row r="133" spans="1:12" x14ac:dyDescent="0.25">
      <c r="A133" s="477">
        <v>45158</v>
      </c>
      <c r="B133" s="579">
        <v>48658</v>
      </c>
      <c r="C133" s="746">
        <f t="shared" si="23"/>
        <v>28</v>
      </c>
      <c r="D133" s="747">
        <f t="shared" si="17"/>
        <v>0</v>
      </c>
      <c r="E133" s="747">
        <f t="shared" si="18"/>
        <v>0</v>
      </c>
      <c r="F133" s="748">
        <f t="shared" si="25"/>
        <v>0</v>
      </c>
      <c r="G133" s="747">
        <f t="shared" si="22"/>
        <v>0</v>
      </c>
      <c r="H133" s="750">
        <f t="shared" si="19"/>
        <v>0</v>
      </c>
      <c r="I133" s="688"/>
      <c r="J133" s="688"/>
      <c r="K133" s="688">
        <f t="shared" si="16"/>
        <v>2033</v>
      </c>
      <c r="L133" s="688"/>
    </row>
    <row r="134" spans="1:12" ht="15.75" thickBot="1" x14ac:dyDescent="0.3">
      <c r="A134" s="478">
        <v>45189</v>
      </c>
      <c r="B134" s="765">
        <v>48689</v>
      </c>
      <c r="C134" s="746">
        <f t="shared" si="23"/>
        <v>31</v>
      </c>
      <c r="D134" s="747">
        <f t="shared" si="17"/>
        <v>0</v>
      </c>
      <c r="E134" s="747">
        <f t="shared" si="18"/>
        <v>0</v>
      </c>
      <c r="F134" s="748">
        <f t="shared" si="25"/>
        <v>0</v>
      </c>
      <c r="G134" s="747">
        <f t="shared" si="22"/>
        <v>0</v>
      </c>
      <c r="H134" s="750">
        <f t="shared" si="19"/>
        <v>0</v>
      </c>
      <c r="I134" s="688"/>
      <c r="J134" s="688"/>
      <c r="K134" s="688">
        <f t="shared" si="16"/>
        <v>2033</v>
      </c>
      <c r="L134" s="688"/>
    </row>
    <row r="135" spans="1:12" x14ac:dyDescent="0.25">
      <c r="A135" s="477">
        <v>45219</v>
      </c>
      <c r="B135" s="579">
        <v>48719</v>
      </c>
      <c r="C135" s="746">
        <f t="shared" si="23"/>
        <v>30</v>
      </c>
      <c r="D135" s="747">
        <f t="shared" si="17"/>
        <v>0</v>
      </c>
      <c r="E135" s="747">
        <f t="shared" si="18"/>
        <v>0</v>
      </c>
      <c r="F135" s="748">
        <f t="shared" si="25"/>
        <v>0</v>
      </c>
      <c r="G135" s="747">
        <f t="shared" si="22"/>
        <v>0</v>
      </c>
      <c r="H135" s="750">
        <f t="shared" si="19"/>
        <v>0</v>
      </c>
      <c r="I135" s="688"/>
      <c r="J135" s="688"/>
      <c r="K135" s="688">
        <f t="shared" si="16"/>
        <v>2033</v>
      </c>
      <c r="L135" s="688"/>
    </row>
    <row r="136" spans="1:12" ht="15.75" thickBot="1" x14ac:dyDescent="0.3">
      <c r="A136" s="478">
        <v>45250</v>
      </c>
      <c r="B136" s="765">
        <v>48750</v>
      </c>
      <c r="C136" s="746">
        <f t="shared" si="23"/>
        <v>31</v>
      </c>
      <c r="D136" s="747">
        <f t="shared" si="17"/>
        <v>0</v>
      </c>
      <c r="E136" s="747">
        <f t="shared" si="18"/>
        <v>0</v>
      </c>
      <c r="F136" s="748">
        <f t="shared" si="25"/>
        <v>0</v>
      </c>
      <c r="G136" s="747">
        <f t="shared" si="22"/>
        <v>0</v>
      </c>
      <c r="H136" s="750">
        <f t="shared" si="19"/>
        <v>0</v>
      </c>
      <c r="I136" s="688"/>
      <c r="J136" s="688"/>
      <c r="K136" s="688">
        <f t="shared" si="16"/>
        <v>2033</v>
      </c>
      <c r="L136" s="688"/>
    </row>
    <row r="137" spans="1:12" x14ac:dyDescent="0.25">
      <c r="A137" s="477">
        <v>45280</v>
      </c>
      <c r="B137" s="579">
        <v>48780</v>
      </c>
      <c r="C137" s="746">
        <f t="shared" si="23"/>
        <v>30</v>
      </c>
      <c r="D137" s="747">
        <f t="shared" si="17"/>
        <v>0</v>
      </c>
      <c r="E137" s="747">
        <f t="shared" si="18"/>
        <v>0</v>
      </c>
      <c r="F137" s="748">
        <f t="shared" si="25"/>
        <v>0</v>
      </c>
      <c r="G137" s="747">
        <f t="shared" si="22"/>
        <v>0</v>
      </c>
      <c r="H137" s="750">
        <f t="shared" si="19"/>
        <v>0</v>
      </c>
      <c r="I137" s="688"/>
      <c r="J137" s="688"/>
      <c r="K137" s="688">
        <f t="shared" si="16"/>
        <v>2033</v>
      </c>
      <c r="L137" s="688"/>
    </row>
    <row r="138" spans="1:12" ht="15.75" thickBot="1" x14ac:dyDescent="0.3">
      <c r="A138" s="478">
        <v>45311</v>
      </c>
      <c r="B138" s="765">
        <v>48811</v>
      </c>
      <c r="C138" s="746">
        <f t="shared" si="23"/>
        <v>31</v>
      </c>
      <c r="D138" s="747">
        <f t="shared" si="17"/>
        <v>0</v>
      </c>
      <c r="E138" s="747">
        <f t="shared" si="18"/>
        <v>0</v>
      </c>
      <c r="F138" s="748">
        <f>F137-D138</f>
        <v>0</v>
      </c>
      <c r="G138" s="747">
        <f t="shared" si="22"/>
        <v>0</v>
      </c>
      <c r="H138" s="750">
        <f t="shared" si="19"/>
        <v>0</v>
      </c>
      <c r="I138" s="745">
        <f>I126+I127</f>
        <v>0</v>
      </c>
      <c r="J138" s="745">
        <f>J126+J127</f>
        <v>0</v>
      </c>
      <c r="K138" s="688">
        <f t="shared" si="16"/>
        <v>2033</v>
      </c>
      <c r="L138" s="688"/>
    </row>
    <row r="139" spans="1:12" x14ac:dyDescent="0.25">
      <c r="A139" s="477">
        <v>45342</v>
      </c>
      <c r="B139" s="579">
        <v>48842</v>
      </c>
      <c r="C139" s="746">
        <f t="shared" si="23"/>
        <v>31</v>
      </c>
      <c r="D139" s="747">
        <f t="shared" si="17"/>
        <v>0</v>
      </c>
      <c r="E139" s="747">
        <f t="shared" si="18"/>
        <v>0</v>
      </c>
      <c r="F139" s="748">
        <f t="shared" ref="F139:F162" si="26">F138-D139</f>
        <v>0</v>
      </c>
      <c r="G139" s="747">
        <f t="shared" si="22"/>
        <v>0</v>
      </c>
      <c r="H139" s="750">
        <f t="shared" si="19"/>
        <v>0</v>
      </c>
      <c r="I139" s="745">
        <f>SUMIF(K$42:K$162,L139,D$42:D$162)</f>
        <v>0</v>
      </c>
      <c r="J139" s="745">
        <f>SUMIF(K$42:K$162,L139,E$42:E$162)</f>
        <v>0</v>
      </c>
      <c r="K139" s="688">
        <f t="shared" si="16"/>
        <v>2033</v>
      </c>
      <c r="L139" s="688">
        <f>L127+1</f>
        <v>2033</v>
      </c>
    </row>
    <row r="140" spans="1:12" ht="15.75" thickBot="1" x14ac:dyDescent="0.3">
      <c r="A140" s="478">
        <v>45371</v>
      </c>
      <c r="B140" s="765">
        <v>48872</v>
      </c>
      <c r="C140" s="746">
        <f t="shared" si="23"/>
        <v>30</v>
      </c>
      <c r="D140" s="747">
        <f t="shared" ref="D140:D162" si="27">IF(F139&lt;=0.1,0,$F$42/$G$39)</f>
        <v>0</v>
      </c>
      <c r="E140" s="747">
        <f t="shared" si="18"/>
        <v>0</v>
      </c>
      <c r="F140" s="748">
        <f t="shared" si="26"/>
        <v>0</v>
      </c>
      <c r="G140" s="747">
        <f t="shared" si="22"/>
        <v>0</v>
      </c>
      <c r="H140" s="750">
        <f t="shared" ref="H140:H203" si="28">$H$43</f>
        <v>0</v>
      </c>
      <c r="I140" s="745"/>
      <c r="J140" s="745"/>
      <c r="K140" s="688">
        <f t="shared" si="16"/>
        <v>2033</v>
      </c>
      <c r="L140" s="688"/>
    </row>
    <row r="141" spans="1:12" x14ac:dyDescent="0.25">
      <c r="A141" s="477">
        <v>45402</v>
      </c>
      <c r="B141" s="579">
        <v>48903</v>
      </c>
      <c r="C141" s="746">
        <f t="shared" si="23"/>
        <v>31</v>
      </c>
      <c r="D141" s="747">
        <f t="shared" si="27"/>
        <v>0</v>
      </c>
      <c r="E141" s="747">
        <f t="shared" si="18"/>
        <v>0</v>
      </c>
      <c r="F141" s="748">
        <f t="shared" si="26"/>
        <v>0</v>
      </c>
      <c r="G141" s="747">
        <f t="shared" si="22"/>
        <v>0</v>
      </c>
      <c r="H141" s="750">
        <f t="shared" si="28"/>
        <v>0</v>
      </c>
      <c r="I141" s="688"/>
      <c r="J141" s="688"/>
      <c r="K141" s="688">
        <f t="shared" si="16"/>
        <v>2033</v>
      </c>
      <c r="L141" s="688"/>
    </row>
    <row r="142" spans="1:12" ht="15.75" thickBot="1" x14ac:dyDescent="0.3">
      <c r="A142" s="478">
        <v>45432</v>
      </c>
      <c r="B142" s="765">
        <v>48933</v>
      </c>
      <c r="C142" s="746">
        <f t="shared" si="23"/>
        <v>30</v>
      </c>
      <c r="D142" s="747">
        <f t="shared" si="27"/>
        <v>0</v>
      </c>
      <c r="E142" s="747">
        <f t="shared" si="18"/>
        <v>0</v>
      </c>
      <c r="F142" s="748">
        <f t="shared" si="26"/>
        <v>0</v>
      </c>
      <c r="G142" s="747">
        <f t="shared" si="22"/>
        <v>0</v>
      </c>
      <c r="H142" s="750">
        <f t="shared" si="28"/>
        <v>0</v>
      </c>
      <c r="I142" s="688"/>
      <c r="J142" s="688"/>
      <c r="K142" s="688">
        <f t="shared" si="16"/>
        <v>2033</v>
      </c>
      <c r="L142" s="688"/>
    </row>
    <row r="143" spans="1:12" x14ac:dyDescent="0.25">
      <c r="A143" s="477">
        <v>45463</v>
      </c>
      <c r="B143" s="579">
        <v>48964</v>
      </c>
      <c r="C143" s="746">
        <f t="shared" si="23"/>
        <v>31</v>
      </c>
      <c r="D143" s="747">
        <f t="shared" si="27"/>
        <v>0</v>
      </c>
      <c r="E143" s="747">
        <f t="shared" si="18"/>
        <v>0</v>
      </c>
      <c r="F143" s="748">
        <f t="shared" si="26"/>
        <v>0</v>
      </c>
      <c r="G143" s="747">
        <f t="shared" si="22"/>
        <v>0</v>
      </c>
      <c r="H143" s="750">
        <f t="shared" si="28"/>
        <v>0</v>
      </c>
      <c r="I143" s="688"/>
      <c r="J143" s="688"/>
      <c r="K143" s="688">
        <f t="shared" si="16"/>
        <v>2034</v>
      </c>
      <c r="L143" s="688"/>
    </row>
    <row r="144" spans="1:12" ht="15.75" thickBot="1" x14ac:dyDescent="0.3">
      <c r="A144" s="478">
        <v>45493</v>
      </c>
      <c r="B144" s="765">
        <v>48995</v>
      </c>
      <c r="C144" s="746">
        <f t="shared" si="23"/>
        <v>31</v>
      </c>
      <c r="D144" s="747">
        <f t="shared" si="27"/>
        <v>0</v>
      </c>
      <c r="E144" s="747">
        <f t="shared" si="18"/>
        <v>0</v>
      </c>
      <c r="F144" s="748">
        <f t="shared" si="26"/>
        <v>0</v>
      </c>
      <c r="G144" s="747">
        <f t="shared" si="22"/>
        <v>0</v>
      </c>
      <c r="H144" s="750">
        <f t="shared" si="28"/>
        <v>0</v>
      </c>
      <c r="I144" s="688"/>
      <c r="J144" s="688"/>
      <c r="K144" s="688">
        <f t="shared" si="16"/>
        <v>2034</v>
      </c>
      <c r="L144" s="688"/>
    </row>
    <row r="145" spans="1:12" x14ac:dyDescent="0.25">
      <c r="A145" s="477">
        <v>45524</v>
      </c>
      <c r="B145" s="579">
        <v>49023</v>
      </c>
      <c r="C145" s="746">
        <f t="shared" si="23"/>
        <v>28</v>
      </c>
      <c r="D145" s="747">
        <f t="shared" si="27"/>
        <v>0</v>
      </c>
      <c r="E145" s="747">
        <f t="shared" si="18"/>
        <v>0</v>
      </c>
      <c r="F145" s="748">
        <f t="shared" si="26"/>
        <v>0</v>
      </c>
      <c r="G145" s="747">
        <f t="shared" si="22"/>
        <v>0</v>
      </c>
      <c r="H145" s="750">
        <f t="shared" si="28"/>
        <v>0</v>
      </c>
      <c r="I145" s="688"/>
      <c r="J145" s="688"/>
      <c r="K145" s="688">
        <f t="shared" si="16"/>
        <v>2034</v>
      </c>
      <c r="L145" s="688"/>
    </row>
    <row r="146" spans="1:12" ht="15.75" thickBot="1" x14ac:dyDescent="0.3">
      <c r="A146" s="478">
        <v>45555</v>
      </c>
      <c r="B146" s="765">
        <v>49054</v>
      </c>
      <c r="C146" s="746">
        <f t="shared" si="23"/>
        <v>31</v>
      </c>
      <c r="D146" s="747">
        <f t="shared" si="27"/>
        <v>0</v>
      </c>
      <c r="E146" s="747">
        <f t="shared" si="18"/>
        <v>0</v>
      </c>
      <c r="F146" s="748">
        <f t="shared" si="26"/>
        <v>0</v>
      </c>
      <c r="G146" s="747">
        <f t="shared" si="22"/>
        <v>0</v>
      </c>
      <c r="H146" s="750">
        <f t="shared" si="28"/>
        <v>0</v>
      </c>
      <c r="I146" s="688"/>
      <c r="J146" s="688"/>
      <c r="K146" s="688">
        <f t="shared" si="16"/>
        <v>2034</v>
      </c>
      <c r="L146" s="688"/>
    </row>
    <row r="147" spans="1:12" x14ac:dyDescent="0.25">
      <c r="A147" s="477">
        <v>45585</v>
      </c>
      <c r="B147" s="579">
        <v>49084</v>
      </c>
      <c r="C147" s="746">
        <f t="shared" si="23"/>
        <v>30</v>
      </c>
      <c r="D147" s="747">
        <f t="shared" si="27"/>
        <v>0</v>
      </c>
      <c r="E147" s="747">
        <f t="shared" si="18"/>
        <v>0</v>
      </c>
      <c r="F147" s="748">
        <f t="shared" si="26"/>
        <v>0</v>
      </c>
      <c r="G147" s="747">
        <f t="shared" si="22"/>
        <v>0</v>
      </c>
      <c r="H147" s="750">
        <f t="shared" si="28"/>
        <v>0</v>
      </c>
      <c r="I147" s="688"/>
      <c r="J147" s="688"/>
      <c r="K147" s="688">
        <f t="shared" si="16"/>
        <v>2034</v>
      </c>
      <c r="L147" s="688"/>
    </row>
    <row r="148" spans="1:12" ht="15.75" thickBot="1" x14ac:dyDescent="0.3">
      <c r="A148" s="478">
        <v>45616</v>
      </c>
      <c r="B148" s="765">
        <v>49115</v>
      </c>
      <c r="C148" s="746">
        <f t="shared" si="23"/>
        <v>31</v>
      </c>
      <c r="D148" s="747">
        <f t="shared" si="27"/>
        <v>0</v>
      </c>
      <c r="E148" s="747">
        <f t="shared" si="18"/>
        <v>0</v>
      </c>
      <c r="F148" s="748">
        <f t="shared" si="26"/>
        <v>0</v>
      </c>
      <c r="G148" s="747">
        <f t="shared" si="22"/>
        <v>0</v>
      </c>
      <c r="H148" s="750">
        <f t="shared" si="28"/>
        <v>0</v>
      </c>
      <c r="I148" s="688"/>
      <c r="J148" s="688"/>
      <c r="K148" s="688">
        <f t="shared" si="16"/>
        <v>2034</v>
      </c>
      <c r="L148" s="688"/>
    </row>
    <row r="149" spans="1:12" x14ac:dyDescent="0.25">
      <c r="A149" s="477">
        <v>45646</v>
      </c>
      <c r="B149" s="579">
        <v>49145</v>
      </c>
      <c r="C149" s="746">
        <f t="shared" si="23"/>
        <v>30</v>
      </c>
      <c r="D149" s="747">
        <f t="shared" si="27"/>
        <v>0</v>
      </c>
      <c r="E149" s="747">
        <f t="shared" si="18"/>
        <v>0</v>
      </c>
      <c r="F149" s="748">
        <f t="shared" si="26"/>
        <v>0</v>
      </c>
      <c r="G149" s="747">
        <f t="shared" si="22"/>
        <v>0</v>
      </c>
      <c r="H149" s="750">
        <f t="shared" si="28"/>
        <v>0</v>
      </c>
      <c r="I149" s="688"/>
      <c r="J149" s="688"/>
      <c r="K149" s="688">
        <f t="shared" si="16"/>
        <v>2034</v>
      </c>
      <c r="L149" s="688"/>
    </row>
    <row r="150" spans="1:12" ht="15.75" thickBot="1" x14ac:dyDescent="0.3">
      <c r="A150" s="478">
        <v>45677</v>
      </c>
      <c r="B150" s="765">
        <v>49176</v>
      </c>
      <c r="C150" s="746">
        <f t="shared" si="23"/>
        <v>31</v>
      </c>
      <c r="D150" s="747">
        <f t="shared" si="27"/>
        <v>0</v>
      </c>
      <c r="E150" s="747">
        <f t="shared" si="18"/>
        <v>0</v>
      </c>
      <c r="F150" s="748">
        <f t="shared" si="26"/>
        <v>0</v>
      </c>
      <c r="G150" s="747">
        <f t="shared" si="22"/>
        <v>0</v>
      </c>
      <c r="H150" s="750">
        <f t="shared" si="28"/>
        <v>0</v>
      </c>
      <c r="I150" s="745">
        <f>I138+I139</f>
        <v>0</v>
      </c>
      <c r="J150" s="745">
        <f>J138+J139</f>
        <v>0</v>
      </c>
      <c r="K150" s="688">
        <f t="shared" si="16"/>
        <v>2034</v>
      </c>
      <c r="L150" s="688"/>
    </row>
    <row r="151" spans="1:12" x14ac:dyDescent="0.25">
      <c r="A151" s="477">
        <v>45708</v>
      </c>
      <c r="B151" s="579">
        <v>49207</v>
      </c>
      <c r="C151" s="746">
        <f t="shared" si="23"/>
        <v>31</v>
      </c>
      <c r="D151" s="747">
        <f t="shared" si="27"/>
        <v>0</v>
      </c>
      <c r="E151" s="747">
        <f t="shared" si="18"/>
        <v>0</v>
      </c>
      <c r="F151" s="748">
        <f t="shared" si="26"/>
        <v>0</v>
      </c>
      <c r="G151" s="747">
        <f t="shared" si="22"/>
        <v>0</v>
      </c>
      <c r="H151" s="750">
        <f t="shared" si="28"/>
        <v>0</v>
      </c>
      <c r="I151" s="745">
        <f>SUMIF(K$42:K$162,L151,D$42:D$162)</f>
        <v>0</v>
      </c>
      <c r="J151" s="745">
        <f>SUMIF(K$42:K$162,L151,E$42:E$162)</f>
        <v>0</v>
      </c>
      <c r="K151" s="688">
        <f t="shared" si="16"/>
        <v>2034</v>
      </c>
      <c r="L151" s="688">
        <f>L139+1</f>
        <v>2034</v>
      </c>
    </row>
    <row r="152" spans="1:12" ht="15.75" thickBot="1" x14ac:dyDescent="0.3">
      <c r="A152" s="478">
        <v>45736</v>
      </c>
      <c r="B152" s="765">
        <v>49237</v>
      </c>
      <c r="C152" s="746">
        <f t="shared" si="23"/>
        <v>30</v>
      </c>
      <c r="D152" s="747">
        <f t="shared" si="27"/>
        <v>0</v>
      </c>
      <c r="E152" s="747">
        <f t="shared" si="18"/>
        <v>0</v>
      </c>
      <c r="F152" s="748">
        <f t="shared" si="26"/>
        <v>0</v>
      </c>
      <c r="G152" s="747">
        <f t="shared" si="22"/>
        <v>0</v>
      </c>
      <c r="H152" s="750">
        <f t="shared" si="28"/>
        <v>0</v>
      </c>
      <c r="I152" s="745"/>
      <c r="J152" s="745"/>
      <c r="K152" s="688">
        <f t="shared" si="16"/>
        <v>2034</v>
      </c>
      <c r="L152" s="688"/>
    </row>
    <row r="153" spans="1:12" x14ac:dyDescent="0.25">
      <c r="A153" s="477">
        <v>45767</v>
      </c>
      <c r="B153" s="579">
        <v>49268</v>
      </c>
      <c r="C153" s="746">
        <f t="shared" si="23"/>
        <v>31</v>
      </c>
      <c r="D153" s="747">
        <f t="shared" si="27"/>
        <v>0</v>
      </c>
      <c r="E153" s="747">
        <f t="shared" si="18"/>
        <v>0</v>
      </c>
      <c r="F153" s="748">
        <f t="shared" si="26"/>
        <v>0</v>
      </c>
      <c r="G153" s="747">
        <f t="shared" si="22"/>
        <v>0</v>
      </c>
      <c r="H153" s="750">
        <f t="shared" si="28"/>
        <v>0</v>
      </c>
      <c r="I153" s="688"/>
      <c r="J153" s="688"/>
      <c r="K153" s="688">
        <f t="shared" si="16"/>
        <v>2034</v>
      </c>
      <c r="L153" s="688"/>
    </row>
    <row r="154" spans="1:12" ht="15.75" thickBot="1" x14ac:dyDescent="0.3">
      <c r="A154" s="478">
        <v>45797</v>
      </c>
      <c r="B154" s="765">
        <v>49298</v>
      </c>
      <c r="C154" s="746">
        <f t="shared" si="23"/>
        <v>30</v>
      </c>
      <c r="D154" s="747">
        <f t="shared" si="27"/>
        <v>0</v>
      </c>
      <c r="E154" s="747">
        <f t="shared" si="18"/>
        <v>0</v>
      </c>
      <c r="F154" s="748">
        <f t="shared" si="26"/>
        <v>0</v>
      </c>
      <c r="G154" s="747">
        <f t="shared" si="22"/>
        <v>0</v>
      </c>
      <c r="H154" s="750">
        <f t="shared" si="28"/>
        <v>0</v>
      </c>
      <c r="I154" s="688"/>
      <c r="J154" s="688"/>
      <c r="K154" s="688">
        <f t="shared" si="16"/>
        <v>2034</v>
      </c>
      <c r="L154" s="688"/>
    </row>
    <row r="155" spans="1:12" x14ac:dyDescent="0.25">
      <c r="A155" s="477">
        <v>45828</v>
      </c>
      <c r="B155" s="579">
        <v>49329</v>
      </c>
      <c r="C155" s="746">
        <f t="shared" si="23"/>
        <v>31</v>
      </c>
      <c r="D155" s="747">
        <f t="shared" si="27"/>
        <v>0</v>
      </c>
      <c r="E155" s="747">
        <f t="shared" si="18"/>
        <v>0</v>
      </c>
      <c r="F155" s="748">
        <f t="shared" si="26"/>
        <v>0</v>
      </c>
      <c r="G155" s="747">
        <f t="shared" si="22"/>
        <v>0</v>
      </c>
      <c r="H155" s="750">
        <f t="shared" si="28"/>
        <v>0</v>
      </c>
      <c r="I155" s="688"/>
      <c r="J155" s="688"/>
      <c r="K155" s="688">
        <f t="shared" si="16"/>
        <v>2035</v>
      </c>
      <c r="L155" s="688"/>
    </row>
    <row r="156" spans="1:12" ht="15.75" thickBot="1" x14ac:dyDescent="0.3">
      <c r="A156" s="478">
        <v>45858</v>
      </c>
      <c r="B156" s="765">
        <v>49360</v>
      </c>
      <c r="C156" s="746">
        <f t="shared" si="23"/>
        <v>31</v>
      </c>
      <c r="D156" s="747">
        <f t="shared" si="27"/>
        <v>0</v>
      </c>
      <c r="E156" s="747">
        <f t="shared" si="18"/>
        <v>0</v>
      </c>
      <c r="F156" s="748">
        <f t="shared" si="26"/>
        <v>0</v>
      </c>
      <c r="G156" s="747">
        <f t="shared" si="22"/>
        <v>0</v>
      </c>
      <c r="H156" s="750">
        <f t="shared" si="28"/>
        <v>0</v>
      </c>
      <c r="I156" s="688"/>
      <c r="J156" s="688"/>
      <c r="K156" s="688">
        <f t="shared" si="16"/>
        <v>2035</v>
      </c>
      <c r="L156" s="688"/>
    </row>
    <row r="157" spans="1:12" x14ac:dyDescent="0.25">
      <c r="A157" s="477">
        <v>45889</v>
      </c>
      <c r="B157" s="579">
        <v>49388</v>
      </c>
      <c r="C157" s="746">
        <f t="shared" si="23"/>
        <v>28</v>
      </c>
      <c r="D157" s="747">
        <f t="shared" si="27"/>
        <v>0</v>
      </c>
      <c r="E157" s="747">
        <f t="shared" si="18"/>
        <v>0</v>
      </c>
      <c r="F157" s="748">
        <f t="shared" si="26"/>
        <v>0</v>
      </c>
      <c r="G157" s="747">
        <f t="shared" si="22"/>
        <v>0</v>
      </c>
      <c r="H157" s="750">
        <f t="shared" si="28"/>
        <v>0</v>
      </c>
      <c r="I157" s="688"/>
      <c r="J157" s="688"/>
      <c r="K157" s="688">
        <f t="shared" si="16"/>
        <v>2035</v>
      </c>
      <c r="L157" s="688"/>
    </row>
    <row r="158" spans="1:12" ht="15.75" thickBot="1" x14ac:dyDescent="0.3">
      <c r="A158" s="478">
        <v>45920</v>
      </c>
      <c r="B158" s="765">
        <v>49419</v>
      </c>
      <c r="C158" s="746">
        <f t="shared" si="23"/>
        <v>31</v>
      </c>
      <c r="D158" s="747">
        <f t="shared" si="27"/>
        <v>0</v>
      </c>
      <c r="E158" s="747">
        <f t="shared" si="18"/>
        <v>0</v>
      </c>
      <c r="F158" s="748">
        <f t="shared" si="26"/>
        <v>0</v>
      </c>
      <c r="G158" s="747">
        <f t="shared" si="22"/>
        <v>0</v>
      </c>
      <c r="H158" s="750">
        <f t="shared" si="28"/>
        <v>0</v>
      </c>
      <c r="I158" s="688"/>
      <c r="J158" s="688"/>
      <c r="K158" s="688">
        <f t="shared" si="16"/>
        <v>2035</v>
      </c>
      <c r="L158" s="688"/>
    </row>
    <row r="159" spans="1:12" x14ac:dyDescent="0.25">
      <c r="A159" s="477">
        <v>45950</v>
      </c>
      <c r="B159" s="579">
        <v>49449</v>
      </c>
      <c r="C159" s="746">
        <f t="shared" si="23"/>
        <v>30</v>
      </c>
      <c r="D159" s="747">
        <f t="shared" si="27"/>
        <v>0</v>
      </c>
      <c r="E159" s="747">
        <f t="shared" si="18"/>
        <v>0</v>
      </c>
      <c r="F159" s="748">
        <f t="shared" si="26"/>
        <v>0</v>
      </c>
      <c r="G159" s="747">
        <f t="shared" si="22"/>
        <v>0</v>
      </c>
      <c r="H159" s="750">
        <f t="shared" si="28"/>
        <v>0</v>
      </c>
      <c r="I159" s="688"/>
      <c r="J159" s="688"/>
      <c r="K159" s="688">
        <f t="shared" si="16"/>
        <v>2035</v>
      </c>
      <c r="L159" s="688"/>
    </row>
    <row r="160" spans="1:12" ht="15.75" thickBot="1" x14ac:dyDescent="0.3">
      <c r="A160" s="478">
        <v>45981</v>
      </c>
      <c r="B160" s="765">
        <v>49480</v>
      </c>
      <c r="C160" s="746">
        <f t="shared" si="23"/>
        <v>31</v>
      </c>
      <c r="D160" s="747">
        <f t="shared" si="27"/>
        <v>0</v>
      </c>
      <c r="E160" s="747">
        <f t="shared" si="18"/>
        <v>0</v>
      </c>
      <c r="F160" s="748">
        <f t="shared" si="26"/>
        <v>0</v>
      </c>
      <c r="G160" s="747">
        <f t="shared" si="22"/>
        <v>0</v>
      </c>
      <c r="H160" s="750">
        <f t="shared" si="28"/>
        <v>0</v>
      </c>
      <c r="I160" s="688"/>
      <c r="J160" s="688"/>
      <c r="K160" s="688">
        <f t="shared" si="16"/>
        <v>2035</v>
      </c>
      <c r="L160" s="688"/>
    </row>
    <row r="161" spans="1:12" x14ac:dyDescent="0.25">
      <c r="A161" s="477">
        <v>46011</v>
      </c>
      <c r="B161" s="579">
        <v>49510</v>
      </c>
      <c r="C161" s="746">
        <f t="shared" si="23"/>
        <v>30</v>
      </c>
      <c r="D161" s="747">
        <f t="shared" si="27"/>
        <v>0</v>
      </c>
      <c r="E161" s="747">
        <f t="shared" si="18"/>
        <v>0</v>
      </c>
      <c r="F161" s="748">
        <f t="shared" si="26"/>
        <v>0</v>
      </c>
      <c r="G161" s="747">
        <f t="shared" si="22"/>
        <v>0</v>
      </c>
      <c r="H161" s="750">
        <f t="shared" si="28"/>
        <v>0</v>
      </c>
      <c r="I161" s="688"/>
      <c r="J161" s="688"/>
      <c r="K161" s="688">
        <f t="shared" si="16"/>
        <v>2035</v>
      </c>
      <c r="L161" s="688"/>
    </row>
    <row r="162" spans="1:12" ht="15.75" thickBot="1" x14ac:dyDescent="0.3">
      <c r="A162" s="479">
        <v>46042</v>
      </c>
      <c r="B162" s="765">
        <v>49541</v>
      </c>
      <c r="C162" s="751">
        <f t="shared" si="23"/>
        <v>31</v>
      </c>
      <c r="D162" s="747">
        <f t="shared" si="27"/>
        <v>0</v>
      </c>
      <c r="E162" s="747">
        <f t="shared" si="18"/>
        <v>0</v>
      </c>
      <c r="F162" s="752">
        <f t="shared" si="26"/>
        <v>0</v>
      </c>
      <c r="G162" s="753">
        <f t="shared" si="22"/>
        <v>0</v>
      </c>
      <c r="H162" s="750">
        <f t="shared" si="28"/>
        <v>0</v>
      </c>
      <c r="I162" s="745">
        <f>SUMIF(K$42:K$162,L162,D$42:D$162)</f>
        <v>0</v>
      </c>
      <c r="J162" s="745">
        <f>SUMIF(K$42:K$162,L162,E$42:E$162)</f>
        <v>0</v>
      </c>
      <c r="K162" s="688">
        <f>YEAR(B162)</f>
        <v>2035</v>
      </c>
      <c r="L162" s="688">
        <f>L151+1</f>
        <v>2035</v>
      </c>
    </row>
    <row r="163" spans="1:12" x14ac:dyDescent="0.25">
      <c r="A163" s="73"/>
      <c r="B163" s="579">
        <v>49572</v>
      </c>
      <c r="C163" s="751">
        <f t="shared" ref="C163:C226" si="29">B163-B162</f>
        <v>31</v>
      </c>
      <c r="D163" s="747">
        <f t="shared" ref="D163:D226" si="30">IF(F162&lt;=0.1,0,$F$42/$G$39)</f>
        <v>0</v>
      </c>
      <c r="E163" s="747">
        <f t="shared" ref="E163:E226" si="31">IF(D163&lt;0.1,0,(F162*C163*H163/36500))</f>
        <v>0</v>
      </c>
      <c r="F163" s="752">
        <f t="shared" ref="F163:F226" si="32">F162-D163</f>
        <v>0</v>
      </c>
      <c r="G163" s="753">
        <f t="shared" ref="G163:G226" si="33">D163+E163</f>
        <v>0</v>
      </c>
      <c r="H163" s="750">
        <f t="shared" si="28"/>
        <v>0</v>
      </c>
      <c r="I163" s="745">
        <f>I151+I150</f>
        <v>0</v>
      </c>
      <c r="J163" s="745">
        <f>J151+J150</f>
        <v>0</v>
      </c>
      <c r="K163" s="688">
        <f t="shared" si="16"/>
        <v>2035</v>
      </c>
      <c r="L163" s="688"/>
    </row>
    <row r="164" spans="1:12" ht="15.75" thickBot="1" x14ac:dyDescent="0.3">
      <c r="B164" s="765">
        <v>49602</v>
      </c>
      <c r="C164" s="751">
        <f t="shared" si="29"/>
        <v>30</v>
      </c>
      <c r="D164" s="747">
        <f t="shared" si="30"/>
        <v>0</v>
      </c>
      <c r="E164" s="747">
        <f t="shared" si="31"/>
        <v>0</v>
      </c>
      <c r="F164" s="752">
        <f t="shared" si="32"/>
        <v>0</v>
      </c>
      <c r="G164" s="753">
        <f t="shared" si="33"/>
        <v>0</v>
      </c>
      <c r="H164" s="750">
        <f t="shared" si="28"/>
        <v>0</v>
      </c>
      <c r="I164" s="745"/>
      <c r="J164" s="745"/>
      <c r="K164" s="688">
        <f>YEAR(B164)</f>
        <v>2035</v>
      </c>
      <c r="L164" s="688"/>
    </row>
    <row r="165" spans="1:12" x14ac:dyDescent="0.25">
      <c r="B165" s="579">
        <v>49633</v>
      </c>
      <c r="C165" s="751">
        <f t="shared" si="29"/>
        <v>31</v>
      </c>
      <c r="D165" s="747">
        <f t="shared" si="30"/>
        <v>0</v>
      </c>
      <c r="E165" s="747">
        <f t="shared" si="31"/>
        <v>0</v>
      </c>
      <c r="F165" s="752">
        <f t="shared" si="32"/>
        <v>0</v>
      </c>
      <c r="G165" s="753">
        <f t="shared" si="33"/>
        <v>0</v>
      </c>
      <c r="H165" s="750">
        <f t="shared" si="28"/>
        <v>0</v>
      </c>
      <c r="I165" s="688"/>
      <c r="J165" s="688"/>
      <c r="K165" s="688">
        <f t="shared" ref="K165:K228" si="34">YEAR(B165)</f>
        <v>2035</v>
      </c>
      <c r="L165" s="688"/>
    </row>
    <row r="166" spans="1:12" ht="15.75" thickBot="1" x14ac:dyDescent="0.3">
      <c r="B166" s="765">
        <v>49663</v>
      </c>
      <c r="C166" s="751">
        <f t="shared" si="29"/>
        <v>30</v>
      </c>
      <c r="D166" s="747">
        <f t="shared" si="30"/>
        <v>0</v>
      </c>
      <c r="E166" s="747">
        <f t="shared" si="31"/>
        <v>0</v>
      </c>
      <c r="F166" s="752">
        <f t="shared" si="32"/>
        <v>0</v>
      </c>
      <c r="G166" s="753">
        <f t="shared" si="33"/>
        <v>0</v>
      </c>
      <c r="H166" s="750">
        <f t="shared" si="28"/>
        <v>0</v>
      </c>
      <c r="I166" s="688"/>
      <c r="J166" s="688"/>
      <c r="K166" s="688">
        <f t="shared" si="34"/>
        <v>2035</v>
      </c>
      <c r="L166" s="688"/>
    </row>
    <row r="167" spans="1:12" x14ac:dyDescent="0.25">
      <c r="B167" s="579">
        <v>49694</v>
      </c>
      <c r="C167" s="751">
        <f t="shared" si="29"/>
        <v>31</v>
      </c>
      <c r="D167" s="747">
        <f t="shared" si="30"/>
        <v>0</v>
      </c>
      <c r="E167" s="747">
        <f t="shared" si="31"/>
        <v>0</v>
      </c>
      <c r="F167" s="752">
        <f t="shared" si="32"/>
        <v>0</v>
      </c>
      <c r="G167" s="753">
        <f t="shared" si="33"/>
        <v>0</v>
      </c>
      <c r="H167" s="750">
        <f t="shared" si="28"/>
        <v>0</v>
      </c>
      <c r="I167" s="688"/>
      <c r="J167" s="688"/>
      <c r="K167" s="688">
        <f t="shared" si="34"/>
        <v>2036</v>
      </c>
      <c r="L167" s="688"/>
    </row>
    <row r="168" spans="1:12" ht="15.75" thickBot="1" x14ac:dyDescent="0.3">
      <c r="B168" s="765">
        <v>49725</v>
      </c>
      <c r="C168" s="751">
        <f t="shared" si="29"/>
        <v>31</v>
      </c>
      <c r="D168" s="747">
        <f t="shared" si="30"/>
        <v>0</v>
      </c>
      <c r="E168" s="747">
        <f t="shared" si="31"/>
        <v>0</v>
      </c>
      <c r="F168" s="752">
        <f t="shared" si="32"/>
        <v>0</v>
      </c>
      <c r="G168" s="753">
        <f t="shared" si="33"/>
        <v>0</v>
      </c>
      <c r="H168" s="750">
        <f t="shared" si="28"/>
        <v>0</v>
      </c>
      <c r="I168" s="688"/>
      <c r="J168" s="688"/>
      <c r="K168" s="688">
        <f t="shared" si="34"/>
        <v>2036</v>
      </c>
      <c r="L168" s="688"/>
    </row>
    <row r="169" spans="1:12" x14ac:dyDescent="0.25">
      <c r="B169" s="579">
        <v>49754</v>
      </c>
      <c r="C169" s="751">
        <f t="shared" si="29"/>
        <v>29</v>
      </c>
      <c r="D169" s="747">
        <f t="shared" si="30"/>
        <v>0</v>
      </c>
      <c r="E169" s="747">
        <f t="shared" si="31"/>
        <v>0</v>
      </c>
      <c r="F169" s="752">
        <f t="shared" si="32"/>
        <v>0</v>
      </c>
      <c r="G169" s="753">
        <f t="shared" si="33"/>
        <v>0</v>
      </c>
      <c r="H169" s="750">
        <f t="shared" si="28"/>
        <v>0</v>
      </c>
      <c r="I169" s="688"/>
      <c r="J169" s="688"/>
      <c r="K169" s="688">
        <f t="shared" si="34"/>
        <v>2036</v>
      </c>
      <c r="L169" s="688"/>
    </row>
    <row r="170" spans="1:12" ht="15.75" thickBot="1" x14ac:dyDescent="0.3">
      <c r="B170" s="765">
        <v>49785</v>
      </c>
      <c r="C170" s="751">
        <f t="shared" si="29"/>
        <v>31</v>
      </c>
      <c r="D170" s="747">
        <f t="shared" si="30"/>
        <v>0</v>
      </c>
      <c r="E170" s="747">
        <f t="shared" si="31"/>
        <v>0</v>
      </c>
      <c r="F170" s="752">
        <f t="shared" si="32"/>
        <v>0</v>
      </c>
      <c r="G170" s="753">
        <f t="shared" si="33"/>
        <v>0</v>
      </c>
      <c r="H170" s="750">
        <f t="shared" si="28"/>
        <v>0</v>
      </c>
      <c r="I170" s="688"/>
      <c r="J170" s="688"/>
      <c r="K170" s="688">
        <f t="shared" si="34"/>
        <v>2036</v>
      </c>
      <c r="L170" s="688"/>
    </row>
    <row r="171" spans="1:12" x14ac:dyDescent="0.25">
      <c r="B171" s="579">
        <v>49815</v>
      </c>
      <c r="C171" s="751">
        <f t="shared" si="29"/>
        <v>30</v>
      </c>
      <c r="D171" s="747">
        <f t="shared" si="30"/>
        <v>0</v>
      </c>
      <c r="E171" s="747">
        <f t="shared" si="31"/>
        <v>0</v>
      </c>
      <c r="F171" s="752">
        <f t="shared" si="32"/>
        <v>0</v>
      </c>
      <c r="G171" s="753">
        <f t="shared" si="33"/>
        <v>0</v>
      </c>
      <c r="H171" s="750">
        <f t="shared" si="28"/>
        <v>0</v>
      </c>
      <c r="I171" s="688"/>
      <c r="J171" s="688"/>
      <c r="K171" s="688">
        <f t="shared" si="34"/>
        <v>2036</v>
      </c>
      <c r="L171" s="688"/>
    </row>
    <row r="172" spans="1:12" ht="15.75" thickBot="1" x14ac:dyDescent="0.3">
      <c r="B172" s="765">
        <v>49846</v>
      </c>
      <c r="C172" s="751">
        <f t="shared" si="29"/>
        <v>31</v>
      </c>
      <c r="D172" s="747">
        <f t="shared" si="30"/>
        <v>0</v>
      </c>
      <c r="E172" s="747">
        <f t="shared" si="31"/>
        <v>0</v>
      </c>
      <c r="F172" s="752">
        <f t="shared" si="32"/>
        <v>0</v>
      </c>
      <c r="G172" s="753">
        <f t="shared" si="33"/>
        <v>0</v>
      </c>
      <c r="H172" s="750">
        <f t="shared" si="28"/>
        <v>0</v>
      </c>
      <c r="I172" s="688"/>
      <c r="J172" s="688"/>
      <c r="K172" s="688">
        <f t="shared" si="34"/>
        <v>2036</v>
      </c>
      <c r="L172" s="688"/>
    </row>
    <row r="173" spans="1:12" x14ac:dyDescent="0.25">
      <c r="B173" s="579">
        <v>49876</v>
      </c>
      <c r="C173" s="751">
        <f t="shared" si="29"/>
        <v>30</v>
      </c>
      <c r="D173" s="747">
        <f t="shared" si="30"/>
        <v>0</v>
      </c>
      <c r="E173" s="747">
        <f t="shared" si="31"/>
        <v>0</v>
      </c>
      <c r="F173" s="752">
        <f t="shared" si="32"/>
        <v>0</v>
      </c>
      <c r="G173" s="753">
        <f t="shared" si="33"/>
        <v>0</v>
      </c>
      <c r="H173" s="750">
        <f t="shared" si="28"/>
        <v>0</v>
      </c>
      <c r="I173" s="688"/>
      <c r="J173" s="688"/>
      <c r="K173" s="688">
        <f t="shared" si="34"/>
        <v>2036</v>
      </c>
      <c r="L173" s="688"/>
    </row>
    <row r="174" spans="1:12" ht="15.75" thickBot="1" x14ac:dyDescent="0.3">
      <c r="B174" s="765">
        <v>49907</v>
      </c>
      <c r="C174" s="751">
        <f t="shared" si="29"/>
        <v>31</v>
      </c>
      <c r="D174" s="747">
        <f t="shared" si="30"/>
        <v>0</v>
      </c>
      <c r="E174" s="747">
        <f t="shared" si="31"/>
        <v>0</v>
      </c>
      <c r="F174" s="752">
        <f t="shared" si="32"/>
        <v>0</v>
      </c>
      <c r="G174" s="753">
        <f t="shared" si="33"/>
        <v>0</v>
      </c>
      <c r="H174" s="750">
        <f t="shared" si="28"/>
        <v>0</v>
      </c>
      <c r="I174" s="745"/>
      <c r="J174" s="745"/>
      <c r="K174" s="688">
        <f t="shared" si="34"/>
        <v>2036</v>
      </c>
      <c r="L174" s="688">
        <f>L162+1</f>
        <v>2036</v>
      </c>
    </row>
    <row r="175" spans="1:12" x14ac:dyDescent="0.25">
      <c r="B175" s="579">
        <v>49938</v>
      </c>
      <c r="C175" s="751">
        <f t="shared" si="29"/>
        <v>31</v>
      </c>
      <c r="D175" s="747">
        <f t="shared" si="30"/>
        <v>0</v>
      </c>
      <c r="E175" s="747">
        <f t="shared" si="31"/>
        <v>0</v>
      </c>
      <c r="F175" s="752">
        <f t="shared" si="32"/>
        <v>0</v>
      </c>
      <c r="G175" s="753">
        <f t="shared" si="33"/>
        <v>0</v>
      </c>
      <c r="H175" s="750">
        <f t="shared" si="28"/>
        <v>0</v>
      </c>
      <c r="I175" s="745"/>
      <c r="J175" s="745"/>
      <c r="K175" s="688">
        <f t="shared" si="34"/>
        <v>2036</v>
      </c>
      <c r="L175" s="688"/>
    </row>
    <row r="176" spans="1:12" ht="15.75" thickBot="1" x14ac:dyDescent="0.3">
      <c r="B176" s="765">
        <v>49968</v>
      </c>
      <c r="C176" s="751">
        <f t="shared" si="29"/>
        <v>30</v>
      </c>
      <c r="D176" s="747">
        <f t="shared" si="30"/>
        <v>0</v>
      </c>
      <c r="E176" s="747">
        <f t="shared" si="31"/>
        <v>0</v>
      </c>
      <c r="F176" s="752">
        <f t="shared" si="32"/>
        <v>0</v>
      </c>
      <c r="G176" s="753">
        <f t="shared" si="33"/>
        <v>0</v>
      </c>
      <c r="H176" s="750">
        <f t="shared" si="28"/>
        <v>0</v>
      </c>
      <c r="I176" s="745"/>
      <c r="J176" s="745"/>
      <c r="K176" s="688">
        <f t="shared" si="34"/>
        <v>2036</v>
      </c>
      <c r="L176" s="688"/>
    </row>
    <row r="177" spans="2:12" x14ac:dyDescent="0.25">
      <c r="B177" s="579">
        <v>49999</v>
      </c>
      <c r="C177" s="751">
        <f t="shared" si="29"/>
        <v>31</v>
      </c>
      <c r="D177" s="747">
        <f t="shared" si="30"/>
        <v>0</v>
      </c>
      <c r="E177" s="747">
        <f t="shared" si="31"/>
        <v>0</v>
      </c>
      <c r="F177" s="752">
        <f t="shared" si="32"/>
        <v>0</v>
      </c>
      <c r="G177" s="753">
        <f t="shared" si="33"/>
        <v>0</v>
      </c>
      <c r="H177" s="750">
        <f t="shared" si="28"/>
        <v>0</v>
      </c>
      <c r="I177" s="688"/>
      <c r="J177" s="688"/>
      <c r="K177" s="688">
        <f t="shared" si="34"/>
        <v>2036</v>
      </c>
      <c r="L177" s="688"/>
    </row>
    <row r="178" spans="2:12" ht="15.75" thickBot="1" x14ac:dyDescent="0.3">
      <c r="B178" s="765">
        <v>50029</v>
      </c>
      <c r="C178" s="751">
        <f t="shared" si="29"/>
        <v>30</v>
      </c>
      <c r="D178" s="747">
        <f t="shared" si="30"/>
        <v>0</v>
      </c>
      <c r="E178" s="747">
        <f t="shared" si="31"/>
        <v>0</v>
      </c>
      <c r="F178" s="752">
        <f t="shared" si="32"/>
        <v>0</v>
      </c>
      <c r="G178" s="753">
        <f t="shared" si="33"/>
        <v>0</v>
      </c>
      <c r="H178" s="750">
        <f t="shared" si="28"/>
        <v>0</v>
      </c>
      <c r="I178" s="688"/>
      <c r="J178" s="688"/>
      <c r="K178" s="688">
        <f t="shared" si="34"/>
        <v>2036</v>
      </c>
      <c r="L178" s="688"/>
    </row>
    <row r="179" spans="2:12" x14ac:dyDescent="0.25">
      <c r="B179" s="579">
        <v>50060</v>
      </c>
      <c r="C179" s="751">
        <f t="shared" si="29"/>
        <v>31</v>
      </c>
      <c r="D179" s="747">
        <f t="shared" si="30"/>
        <v>0</v>
      </c>
      <c r="E179" s="747">
        <f t="shared" si="31"/>
        <v>0</v>
      </c>
      <c r="F179" s="752">
        <f t="shared" si="32"/>
        <v>0</v>
      </c>
      <c r="G179" s="753">
        <f t="shared" si="33"/>
        <v>0</v>
      </c>
      <c r="H179" s="750">
        <f t="shared" si="28"/>
        <v>0</v>
      </c>
      <c r="I179" s="688"/>
      <c r="J179" s="688"/>
      <c r="K179" s="688">
        <f t="shared" si="34"/>
        <v>2037</v>
      </c>
      <c r="L179" s="688"/>
    </row>
    <row r="180" spans="2:12" ht="15.75" thickBot="1" x14ac:dyDescent="0.3">
      <c r="B180" s="765">
        <v>50091</v>
      </c>
      <c r="C180" s="751">
        <f t="shared" si="29"/>
        <v>31</v>
      </c>
      <c r="D180" s="747">
        <f t="shared" si="30"/>
        <v>0</v>
      </c>
      <c r="E180" s="747">
        <f t="shared" si="31"/>
        <v>0</v>
      </c>
      <c r="F180" s="752">
        <f t="shared" si="32"/>
        <v>0</v>
      </c>
      <c r="G180" s="753">
        <f t="shared" si="33"/>
        <v>0</v>
      </c>
      <c r="H180" s="750">
        <f t="shared" si="28"/>
        <v>0</v>
      </c>
      <c r="I180" s="688"/>
      <c r="J180" s="688"/>
      <c r="K180" s="688">
        <f t="shared" si="34"/>
        <v>2037</v>
      </c>
      <c r="L180" s="688"/>
    </row>
    <row r="181" spans="2:12" x14ac:dyDescent="0.25">
      <c r="B181" s="579">
        <v>50119</v>
      </c>
      <c r="C181" s="751">
        <f t="shared" si="29"/>
        <v>28</v>
      </c>
      <c r="D181" s="747">
        <f t="shared" si="30"/>
        <v>0</v>
      </c>
      <c r="E181" s="747">
        <f t="shared" si="31"/>
        <v>0</v>
      </c>
      <c r="F181" s="752">
        <f t="shared" si="32"/>
        <v>0</v>
      </c>
      <c r="G181" s="753">
        <f t="shared" si="33"/>
        <v>0</v>
      </c>
      <c r="H181" s="750">
        <f t="shared" si="28"/>
        <v>0</v>
      </c>
      <c r="I181" s="688"/>
      <c r="J181" s="688"/>
      <c r="K181" s="688">
        <f t="shared" si="34"/>
        <v>2037</v>
      </c>
      <c r="L181" s="688"/>
    </row>
    <row r="182" spans="2:12" ht="15.75" thickBot="1" x14ac:dyDescent="0.3">
      <c r="B182" s="765">
        <v>50150</v>
      </c>
      <c r="C182" s="751">
        <f t="shared" si="29"/>
        <v>31</v>
      </c>
      <c r="D182" s="747">
        <f t="shared" si="30"/>
        <v>0</v>
      </c>
      <c r="E182" s="747">
        <f t="shared" si="31"/>
        <v>0</v>
      </c>
      <c r="F182" s="752">
        <f t="shared" si="32"/>
        <v>0</v>
      </c>
      <c r="G182" s="753">
        <f t="shared" si="33"/>
        <v>0</v>
      </c>
      <c r="H182" s="750">
        <f t="shared" si="28"/>
        <v>0</v>
      </c>
      <c r="I182" s="688"/>
      <c r="J182" s="688"/>
      <c r="K182" s="688">
        <f t="shared" si="34"/>
        <v>2037</v>
      </c>
      <c r="L182" s="688"/>
    </row>
    <row r="183" spans="2:12" x14ac:dyDescent="0.25">
      <c r="B183" s="579">
        <v>50180</v>
      </c>
      <c r="C183" s="751">
        <f t="shared" si="29"/>
        <v>30</v>
      </c>
      <c r="D183" s="747">
        <f t="shared" si="30"/>
        <v>0</v>
      </c>
      <c r="E183" s="747">
        <f t="shared" si="31"/>
        <v>0</v>
      </c>
      <c r="F183" s="752">
        <f t="shared" si="32"/>
        <v>0</v>
      </c>
      <c r="G183" s="753">
        <f t="shared" si="33"/>
        <v>0</v>
      </c>
      <c r="H183" s="750">
        <f t="shared" si="28"/>
        <v>0</v>
      </c>
      <c r="I183" s="688"/>
      <c r="J183" s="688"/>
      <c r="K183" s="688">
        <f t="shared" si="34"/>
        <v>2037</v>
      </c>
      <c r="L183" s="688"/>
    </row>
    <row r="184" spans="2:12" ht="15.75" thickBot="1" x14ac:dyDescent="0.3">
      <c r="B184" s="765">
        <v>50211</v>
      </c>
      <c r="C184" s="751">
        <f t="shared" si="29"/>
        <v>31</v>
      </c>
      <c r="D184" s="747">
        <f t="shared" si="30"/>
        <v>0</v>
      </c>
      <c r="E184" s="747">
        <f t="shared" si="31"/>
        <v>0</v>
      </c>
      <c r="F184" s="752">
        <f t="shared" si="32"/>
        <v>0</v>
      </c>
      <c r="G184" s="753">
        <f t="shared" si="33"/>
        <v>0</v>
      </c>
      <c r="H184" s="750">
        <f t="shared" si="28"/>
        <v>0</v>
      </c>
      <c r="I184" s="688"/>
      <c r="J184" s="688"/>
      <c r="K184" s="688">
        <f t="shared" si="34"/>
        <v>2037</v>
      </c>
      <c r="L184" s="688"/>
    </row>
    <row r="185" spans="2:12" x14ac:dyDescent="0.25">
      <c r="B185" s="579">
        <v>50241</v>
      </c>
      <c r="C185" s="751">
        <f t="shared" si="29"/>
        <v>30</v>
      </c>
      <c r="D185" s="747">
        <f t="shared" si="30"/>
        <v>0</v>
      </c>
      <c r="E185" s="747">
        <f t="shared" si="31"/>
        <v>0</v>
      </c>
      <c r="F185" s="752">
        <f t="shared" si="32"/>
        <v>0</v>
      </c>
      <c r="G185" s="753">
        <f t="shared" si="33"/>
        <v>0</v>
      </c>
      <c r="H185" s="750">
        <f t="shared" si="28"/>
        <v>0</v>
      </c>
      <c r="I185" s="688"/>
      <c r="J185" s="688"/>
      <c r="K185" s="688">
        <f t="shared" si="34"/>
        <v>2037</v>
      </c>
      <c r="L185" s="688"/>
    </row>
    <row r="186" spans="2:12" ht="15.75" thickBot="1" x14ac:dyDescent="0.3">
      <c r="B186" s="765">
        <v>50272</v>
      </c>
      <c r="C186" s="751">
        <f t="shared" si="29"/>
        <v>31</v>
      </c>
      <c r="D186" s="747">
        <f t="shared" si="30"/>
        <v>0</v>
      </c>
      <c r="E186" s="747">
        <f t="shared" si="31"/>
        <v>0</v>
      </c>
      <c r="F186" s="752">
        <f t="shared" si="32"/>
        <v>0</v>
      </c>
      <c r="G186" s="753">
        <f t="shared" si="33"/>
        <v>0</v>
      </c>
      <c r="H186" s="750">
        <f t="shared" si="28"/>
        <v>0</v>
      </c>
      <c r="I186" s="688"/>
      <c r="J186" s="688"/>
      <c r="K186" s="688">
        <f t="shared" si="34"/>
        <v>2037</v>
      </c>
      <c r="L186" s="688">
        <f>L174+1</f>
        <v>2037</v>
      </c>
    </row>
    <row r="187" spans="2:12" x14ac:dyDescent="0.25">
      <c r="B187" s="579">
        <v>50303</v>
      </c>
      <c r="C187" s="751">
        <f t="shared" si="29"/>
        <v>31</v>
      </c>
      <c r="D187" s="747">
        <f t="shared" si="30"/>
        <v>0</v>
      </c>
      <c r="E187" s="747">
        <f t="shared" si="31"/>
        <v>0</v>
      </c>
      <c r="F187" s="752">
        <f t="shared" si="32"/>
        <v>0</v>
      </c>
      <c r="G187" s="753">
        <f t="shared" si="33"/>
        <v>0</v>
      </c>
      <c r="H187" s="750">
        <f t="shared" si="28"/>
        <v>0</v>
      </c>
      <c r="I187" s="688"/>
      <c r="J187" s="688"/>
      <c r="K187" s="688">
        <f t="shared" si="34"/>
        <v>2037</v>
      </c>
      <c r="L187" s="688"/>
    </row>
    <row r="188" spans="2:12" ht="15.75" thickBot="1" x14ac:dyDescent="0.3">
      <c r="B188" s="765">
        <v>50333</v>
      </c>
      <c r="C188" s="751">
        <f t="shared" si="29"/>
        <v>30</v>
      </c>
      <c r="D188" s="747">
        <f t="shared" si="30"/>
        <v>0</v>
      </c>
      <c r="E188" s="747">
        <f t="shared" si="31"/>
        <v>0</v>
      </c>
      <c r="F188" s="752">
        <f t="shared" si="32"/>
        <v>0</v>
      </c>
      <c r="G188" s="753">
        <f t="shared" si="33"/>
        <v>0</v>
      </c>
      <c r="H188" s="750">
        <f t="shared" si="28"/>
        <v>0</v>
      </c>
      <c r="I188" s="688"/>
      <c r="J188" s="688"/>
      <c r="K188" s="688">
        <f t="shared" si="34"/>
        <v>2037</v>
      </c>
      <c r="L188" s="688"/>
    </row>
    <row r="189" spans="2:12" x14ac:dyDescent="0.25">
      <c r="B189" s="579">
        <v>50364</v>
      </c>
      <c r="C189" s="751">
        <f t="shared" si="29"/>
        <v>31</v>
      </c>
      <c r="D189" s="747">
        <f t="shared" si="30"/>
        <v>0</v>
      </c>
      <c r="E189" s="747">
        <f t="shared" si="31"/>
        <v>0</v>
      </c>
      <c r="F189" s="752">
        <f t="shared" si="32"/>
        <v>0</v>
      </c>
      <c r="G189" s="753">
        <f t="shared" si="33"/>
        <v>0</v>
      </c>
      <c r="H189" s="750">
        <f t="shared" si="28"/>
        <v>0</v>
      </c>
      <c r="I189" s="688"/>
      <c r="J189" s="688"/>
      <c r="K189" s="688">
        <f t="shared" si="34"/>
        <v>2037</v>
      </c>
      <c r="L189" s="688"/>
    </row>
    <row r="190" spans="2:12" ht="15.75" thickBot="1" x14ac:dyDescent="0.3">
      <c r="B190" s="765">
        <v>50394</v>
      </c>
      <c r="C190" s="751">
        <f t="shared" si="29"/>
        <v>30</v>
      </c>
      <c r="D190" s="747">
        <f t="shared" si="30"/>
        <v>0</v>
      </c>
      <c r="E190" s="747">
        <f t="shared" si="31"/>
        <v>0</v>
      </c>
      <c r="F190" s="752">
        <f t="shared" si="32"/>
        <v>0</v>
      </c>
      <c r="G190" s="753">
        <f t="shared" si="33"/>
        <v>0</v>
      </c>
      <c r="H190" s="750">
        <f t="shared" si="28"/>
        <v>0</v>
      </c>
      <c r="I190" s="688"/>
      <c r="J190" s="688"/>
      <c r="K190" s="688">
        <f t="shared" si="34"/>
        <v>2037</v>
      </c>
      <c r="L190" s="688"/>
    </row>
    <row r="191" spans="2:12" x14ac:dyDescent="0.25">
      <c r="B191" s="579">
        <v>50425</v>
      </c>
      <c r="C191" s="751">
        <f t="shared" si="29"/>
        <v>31</v>
      </c>
      <c r="D191" s="747">
        <f t="shared" si="30"/>
        <v>0</v>
      </c>
      <c r="E191" s="747">
        <f t="shared" si="31"/>
        <v>0</v>
      </c>
      <c r="F191" s="752">
        <f t="shared" si="32"/>
        <v>0</v>
      </c>
      <c r="G191" s="753">
        <f t="shared" si="33"/>
        <v>0</v>
      </c>
      <c r="H191" s="750">
        <f t="shared" si="28"/>
        <v>0</v>
      </c>
      <c r="I191" s="688"/>
      <c r="J191" s="688"/>
      <c r="K191" s="688">
        <f t="shared" si="34"/>
        <v>2038</v>
      </c>
      <c r="L191" s="688"/>
    </row>
    <row r="192" spans="2:12" ht="15.75" thickBot="1" x14ac:dyDescent="0.3">
      <c r="B192" s="765">
        <v>50456</v>
      </c>
      <c r="C192" s="751">
        <f t="shared" si="29"/>
        <v>31</v>
      </c>
      <c r="D192" s="747">
        <f t="shared" si="30"/>
        <v>0</v>
      </c>
      <c r="E192" s="747">
        <f t="shared" si="31"/>
        <v>0</v>
      </c>
      <c r="F192" s="752">
        <f t="shared" si="32"/>
        <v>0</v>
      </c>
      <c r="G192" s="753">
        <f t="shared" si="33"/>
        <v>0</v>
      </c>
      <c r="H192" s="750">
        <f t="shared" si="28"/>
        <v>0</v>
      </c>
      <c r="I192" s="688"/>
      <c r="J192" s="688"/>
      <c r="K192" s="688">
        <f t="shared" si="34"/>
        <v>2038</v>
      </c>
      <c r="L192" s="688"/>
    </row>
    <row r="193" spans="2:12" x14ac:dyDescent="0.25">
      <c r="B193" s="579">
        <v>50484</v>
      </c>
      <c r="C193" s="751">
        <f t="shared" si="29"/>
        <v>28</v>
      </c>
      <c r="D193" s="747">
        <f t="shared" si="30"/>
        <v>0</v>
      </c>
      <c r="E193" s="747">
        <f t="shared" si="31"/>
        <v>0</v>
      </c>
      <c r="F193" s="752">
        <f t="shared" si="32"/>
        <v>0</v>
      </c>
      <c r="G193" s="753">
        <f t="shared" si="33"/>
        <v>0</v>
      </c>
      <c r="H193" s="750">
        <f t="shared" si="28"/>
        <v>0</v>
      </c>
      <c r="I193" s="688"/>
      <c r="J193" s="688"/>
      <c r="K193" s="688">
        <f t="shared" si="34"/>
        <v>2038</v>
      </c>
      <c r="L193" s="688"/>
    </row>
    <row r="194" spans="2:12" ht="15.75" thickBot="1" x14ac:dyDescent="0.3">
      <c r="B194" s="765">
        <v>50515</v>
      </c>
      <c r="C194" s="751">
        <f t="shared" si="29"/>
        <v>31</v>
      </c>
      <c r="D194" s="747">
        <f t="shared" si="30"/>
        <v>0</v>
      </c>
      <c r="E194" s="747">
        <f t="shared" si="31"/>
        <v>0</v>
      </c>
      <c r="F194" s="752">
        <f t="shared" si="32"/>
        <v>0</v>
      </c>
      <c r="G194" s="753">
        <f t="shared" si="33"/>
        <v>0</v>
      </c>
      <c r="H194" s="750">
        <f t="shared" si="28"/>
        <v>0</v>
      </c>
      <c r="I194" s="688"/>
      <c r="J194" s="688"/>
      <c r="K194" s="688">
        <f t="shared" si="34"/>
        <v>2038</v>
      </c>
      <c r="L194" s="688"/>
    </row>
    <row r="195" spans="2:12" x14ac:dyDescent="0.25">
      <c r="B195" s="579">
        <v>50545</v>
      </c>
      <c r="C195" s="751">
        <f t="shared" si="29"/>
        <v>30</v>
      </c>
      <c r="D195" s="747">
        <f t="shared" si="30"/>
        <v>0</v>
      </c>
      <c r="E195" s="747">
        <f t="shared" si="31"/>
        <v>0</v>
      </c>
      <c r="F195" s="752">
        <f t="shared" si="32"/>
        <v>0</v>
      </c>
      <c r="G195" s="753">
        <f t="shared" si="33"/>
        <v>0</v>
      </c>
      <c r="H195" s="750">
        <f t="shared" si="28"/>
        <v>0</v>
      </c>
      <c r="I195" s="688"/>
      <c r="J195" s="688"/>
      <c r="K195" s="688">
        <f t="shared" si="34"/>
        <v>2038</v>
      </c>
      <c r="L195" s="688"/>
    </row>
    <row r="196" spans="2:12" ht="15.75" thickBot="1" x14ac:dyDescent="0.3">
      <c r="B196" s="765">
        <v>50576</v>
      </c>
      <c r="C196" s="751">
        <f t="shared" si="29"/>
        <v>31</v>
      </c>
      <c r="D196" s="747">
        <f t="shared" si="30"/>
        <v>0</v>
      </c>
      <c r="E196" s="747">
        <f t="shared" si="31"/>
        <v>0</v>
      </c>
      <c r="F196" s="752">
        <f t="shared" si="32"/>
        <v>0</v>
      </c>
      <c r="G196" s="753">
        <f t="shared" si="33"/>
        <v>0</v>
      </c>
      <c r="H196" s="750">
        <f t="shared" si="28"/>
        <v>0</v>
      </c>
      <c r="I196" s="688"/>
      <c r="J196" s="688"/>
      <c r="K196" s="688">
        <f t="shared" si="34"/>
        <v>2038</v>
      </c>
      <c r="L196" s="688"/>
    </row>
    <row r="197" spans="2:12" x14ac:dyDescent="0.25">
      <c r="B197" s="579">
        <v>50606</v>
      </c>
      <c r="C197" s="751">
        <f t="shared" si="29"/>
        <v>30</v>
      </c>
      <c r="D197" s="747">
        <f t="shared" si="30"/>
        <v>0</v>
      </c>
      <c r="E197" s="747">
        <f t="shared" si="31"/>
        <v>0</v>
      </c>
      <c r="F197" s="752">
        <f t="shared" si="32"/>
        <v>0</v>
      </c>
      <c r="G197" s="753">
        <f t="shared" si="33"/>
        <v>0</v>
      </c>
      <c r="H197" s="750">
        <f t="shared" si="28"/>
        <v>0</v>
      </c>
      <c r="I197" s="688"/>
      <c r="J197" s="688"/>
      <c r="K197" s="688">
        <f t="shared" si="34"/>
        <v>2038</v>
      </c>
      <c r="L197" s="688"/>
    </row>
    <row r="198" spans="2:12" ht="15.75" thickBot="1" x14ac:dyDescent="0.3">
      <c r="B198" s="765">
        <v>50637</v>
      </c>
      <c r="C198" s="751">
        <f t="shared" si="29"/>
        <v>31</v>
      </c>
      <c r="D198" s="747">
        <f t="shared" si="30"/>
        <v>0</v>
      </c>
      <c r="E198" s="747">
        <f t="shared" si="31"/>
        <v>0</v>
      </c>
      <c r="F198" s="752">
        <f t="shared" si="32"/>
        <v>0</v>
      </c>
      <c r="G198" s="753">
        <f t="shared" si="33"/>
        <v>0</v>
      </c>
      <c r="H198" s="750">
        <f t="shared" si="28"/>
        <v>0</v>
      </c>
      <c r="I198" s="688"/>
      <c r="J198" s="688"/>
      <c r="K198" s="688">
        <f t="shared" si="34"/>
        <v>2038</v>
      </c>
      <c r="L198" s="688">
        <f>L186+1</f>
        <v>2038</v>
      </c>
    </row>
    <row r="199" spans="2:12" x14ac:dyDescent="0.25">
      <c r="B199" s="579">
        <v>50668</v>
      </c>
      <c r="C199" s="751">
        <f t="shared" si="29"/>
        <v>31</v>
      </c>
      <c r="D199" s="747">
        <f t="shared" si="30"/>
        <v>0</v>
      </c>
      <c r="E199" s="747">
        <f t="shared" si="31"/>
        <v>0</v>
      </c>
      <c r="F199" s="752">
        <f t="shared" si="32"/>
        <v>0</v>
      </c>
      <c r="G199" s="753">
        <f t="shared" si="33"/>
        <v>0</v>
      </c>
      <c r="H199" s="750">
        <f t="shared" si="28"/>
        <v>0</v>
      </c>
      <c r="I199" s="688"/>
      <c r="J199" s="688"/>
      <c r="K199" s="688">
        <f t="shared" si="34"/>
        <v>2038</v>
      </c>
      <c r="L199" s="688"/>
    </row>
    <row r="200" spans="2:12" ht="15.75" thickBot="1" x14ac:dyDescent="0.3">
      <c r="B200" s="765">
        <v>50698</v>
      </c>
      <c r="C200" s="751">
        <f t="shared" si="29"/>
        <v>30</v>
      </c>
      <c r="D200" s="747">
        <f t="shared" si="30"/>
        <v>0</v>
      </c>
      <c r="E200" s="747">
        <f t="shared" si="31"/>
        <v>0</v>
      </c>
      <c r="F200" s="752">
        <f t="shared" si="32"/>
        <v>0</v>
      </c>
      <c r="G200" s="753">
        <f t="shared" si="33"/>
        <v>0</v>
      </c>
      <c r="H200" s="750">
        <f t="shared" si="28"/>
        <v>0</v>
      </c>
      <c r="I200" s="688"/>
      <c r="J200" s="688"/>
      <c r="K200" s="688">
        <f t="shared" si="34"/>
        <v>2038</v>
      </c>
      <c r="L200" s="688"/>
    </row>
    <row r="201" spans="2:12" x14ac:dyDescent="0.25">
      <c r="B201" s="579">
        <v>50729</v>
      </c>
      <c r="C201" s="751">
        <f t="shared" si="29"/>
        <v>31</v>
      </c>
      <c r="D201" s="747">
        <f t="shared" si="30"/>
        <v>0</v>
      </c>
      <c r="E201" s="747">
        <f t="shared" si="31"/>
        <v>0</v>
      </c>
      <c r="F201" s="752">
        <f t="shared" si="32"/>
        <v>0</v>
      </c>
      <c r="G201" s="753">
        <f t="shared" si="33"/>
        <v>0</v>
      </c>
      <c r="H201" s="750">
        <f t="shared" si="28"/>
        <v>0</v>
      </c>
      <c r="I201" s="688"/>
      <c r="J201" s="688"/>
      <c r="K201" s="688">
        <f t="shared" si="34"/>
        <v>2038</v>
      </c>
      <c r="L201" s="688"/>
    </row>
    <row r="202" spans="2:12" ht="15.75" thickBot="1" x14ac:dyDescent="0.3">
      <c r="B202" s="765">
        <v>50759</v>
      </c>
      <c r="C202" s="751">
        <f t="shared" si="29"/>
        <v>30</v>
      </c>
      <c r="D202" s="747">
        <f t="shared" si="30"/>
        <v>0</v>
      </c>
      <c r="E202" s="747">
        <f t="shared" si="31"/>
        <v>0</v>
      </c>
      <c r="F202" s="752">
        <f t="shared" si="32"/>
        <v>0</v>
      </c>
      <c r="G202" s="753">
        <f t="shared" si="33"/>
        <v>0</v>
      </c>
      <c r="H202" s="750">
        <f t="shared" si="28"/>
        <v>0</v>
      </c>
      <c r="I202" s="688"/>
      <c r="J202" s="688"/>
      <c r="K202" s="688">
        <f t="shared" si="34"/>
        <v>2038</v>
      </c>
      <c r="L202" s="688"/>
    </row>
    <row r="203" spans="2:12" x14ac:dyDescent="0.25">
      <c r="B203" s="579">
        <v>50790</v>
      </c>
      <c r="C203" s="751">
        <f t="shared" si="29"/>
        <v>31</v>
      </c>
      <c r="D203" s="747">
        <f t="shared" si="30"/>
        <v>0</v>
      </c>
      <c r="E203" s="747">
        <f t="shared" si="31"/>
        <v>0</v>
      </c>
      <c r="F203" s="752">
        <f t="shared" si="32"/>
        <v>0</v>
      </c>
      <c r="G203" s="753">
        <f t="shared" si="33"/>
        <v>0</v>
      </c>
      <c r="H203" s="750">
        <f t="shared" si="28"/>
        <v>0</v>
      </c>
      <c r="I203" s="688"/>
      <c r="J203" s="688"/>
      <c r="K203" s="688">
        <f t="shared" si="34"/>
        <v>2039</v>
      </c>
      <c r="L203" s="688"/>
    </row>
    <row r="204" spans="2:12" ht="15.75" thickBot="1" x14ac:dyDescent="0.3">
      <c r="B204" s="765">
        <v>50821</v>
      </c>
      <c r="C204" s="751">
        <f t="shared" si="29"/>
        <v>31</v>
      </c>
      <c r="D204" s="747">
        <f t="shared" si="30"/>
        <v>0</v>
      </c>
      <c r="E204" s="747">
        <f t="shared" si="31"/>
        <v>0</v>
      </c>
      <c r="F204" s="752">
        <f t="shared" si="32"/>
        <v>0</v>
      </c>
      <c r="G204" s="753">
        <f t="shared" si="33"/>
        <v>0</v>
      </c>
      <c r="H204" s="750">
        <f t="shared" ref="H204:H267" si="35">$H$43</f>
        <v>0</v>
      </c>
      <c r="I204" s="688"/>
      <c r="J204" s="688"/>
      <c r="K204" s="688">
        <f t="shared" si="34"/>
        <v>2039</v>
      </c>
      <c r="L204" s="688"/>
    </row>
    <row r="205" spans="2:12" x14ac:dyDescent="0.25">
      <c r="B205" s="579">
        <v>50849</v>
      </c>
      <c r="C205" s="751">
        <f t="shared" si="29"/>
        <v>28</v>
      </c>
      <c r="D205" s="747">
        <f t="shared" si="30"/>
        <v>0</v>
      </c>
      <c r="E205" s="747">
        <f t="shared" si="31"/>
        <v>0</v>
      </c>
      <c r="F205" s="752">
        <f t="shared" si="32"/>
        <v>0</v>
      </c>
      <c r="G205" s="753">
        <f t="shared" si="33"/>
        <v>0</v>
      </c>
      <c r="H205" s="750">
        <f t="shared" si="35"/>
        <v>0</v>
      </c>
      <c r="I205" s="688"/>
      <c r="J205" s="688"/>
      <c r="K205" s="688">
        <f t="shared" si="34"/>
        <v>2039</v>
      </c>
      <c r="L205" s="688"/>
    </row>
    <row r="206" spans="2:12" ht="15.75" thickBot="1" x14ac:dyDescent="0.3">
      <c r="B206" s="765">
        <v>50880</v>
      </c>
      <c r="C206" s="751">
        <f t="shared" si="29"/>
        <v>31</v>
      </c>
      <c r="D206" s="747">
        <f t="shared" si="30"/>
        <v>0</v>
      </c>
      <c r="E206" s="747">
        <f t="shared" si="31"/>
        <v>0</v>
      </c>
      <c r="F206" s="752">
        <f t="shared" si="32"/>
        <v>0</v>
      </c>
      <c r="G206" s="753">
        <f t="shared" si="33"/>
        <v>0</v>
      </c>
      <c r="H206" s="750">
        <f t="shared" si="35"/>
        <v>0</v>
      </c>
      <c r="I206" s="688"/>
      <c r="J206" s="688"/>
      <c r="K206" s="688">
        <f t="shared" si="34"/>
        <v>2039</v>
      </c>
      <c r="L206" s="688"/>
    </row>
    <row r="207" spans="2:12" x14ac:dyDescent="0.25">
      <c r="B207" s="579">
        <v>50910</v>
      </c>
      <c r="C207" s="751">
        <f t="shared" si="29"/>
        <v>30</v>
      </c>
      <c r="D207" s="747">
        <f t="shared" si="30"/>
        <v>0</v>
      </c>
      <c r="E207" s="747">
        <f t="shared" si="31"/>
        <v>0</v>
      </c>
      <c r="F207" s="752">
        <f t="shared" si="32"/>
        <v>0</v>
      </c>
      <c r="G207" s="753">
        <f t="shared" si="33"/>
        <v>0</v>
      </c>
      <c r="H207" s="750">
        <f t="shared" si="35"/>
        <v>0</v>
      </c>
      <c r="I207" s="688"/>
      <c r="J207" s="688"/>
      <c r="K207" s="688">
        <f t="shared" si="34"/>
        <v>2039</v>
      </c>
      <c r="L207" s="688"/>
    </row>
    <row r="208" spans="2:12" ht="15.75" thickBot="1" x14ac:dyDescent="0.3">
      <c r="B208" s="765">
        <v>50941</v>
      </c>
      <c r="C208" s="751">
        <f t="shared" si="29"/>
        <v>31</v>
      </c>
      <c r="D208" s="747">
        <f t="shared" si="30"/>
        <v>0</v>
      </c>
      <c r="E208" s="747">
        <f t="shared" si="31"/>
        <v>0</v>
      </c>
      <c r="F208" s="752">
        <f t="shared" si="32"/>
        <v>0</v>
      </c>
      <c r="G208" s="753">
        <f t="shared" si="33"/>
        <v>0</v>
      </c>
      <c r="H208" s="750">
        <f t="shared" si="35"/>
        <v>0</v>
      </c>
      <c r="I208" s="688"/>
      <c r="J208" s="688"/>
      <c r="K208" s="688">
        <f t="shared" si="34"/>
        <v>2039</v>
      </c>
      <c r="L208" s="688"/>
    </row>
    <row r="209" spans="2:12" x14ac:dyDescent="0.25">
      <c r="B209" s="579">
        <v>50971</v>
      </c>
      <c r="C209" s="751">
        <f t="shared" si="29"/>
        <v>30</v>
      </c>
      <c r="D209" s="747">
        <f t="shared" si="30"/>
        <v>0</v>
      </c>
      <c r="E209" s="747">
        <f t="shared" si="31"/>
        <v>0</v>
      </c>
      <c r="F209" s="752">
        <f t="shared" si="32"/>
        <v>0</v>
      </c>
      <c r="G209" s="753">
        <f t="shared" si="33"/>
        <v>0</v>
      </c>
      <c r="H209" s="750">
        <f t="shared" si="35"/>
        <v>0</v>
      </c>
      <c r="I209" s="688"/>
      <c r="J209" s="688"/>
      <c r="K209" s="688">
        <f t="shared" si="34"/>
        <v>2039</v>
      </c>
      <c r="L209" s="688"/>
    </row>
    <row r="210" spans="2:12" ht="15.75" thickBot="1" x14ac:dyDescent="0.3">
      <c r="B210" s="765">
        <v>51002</v>
      </c>
      <c r="C210" s="751">
        <f t="shared" si="29"/>
        <v>31</v>
      </c>
      <c r="D210" s="747">
        <f t="shared" si="30"/>
        <v>0</v>
      </c>
      <c r="E210" s="747">
        <f t="shared" si="31"/>
        <v>0</v>
      </c>
      <c r="F210" s="752">
        <f t="shared" si="32"/>
        <v>0</v>
      </c>
      <c r="G210" s="753">
        <f t="shared" si="33"/>
        <v>0</v>
      </c>
      <c r="H210" s="750">
        <f t="shared" si="35"/>
        <v>0</v>
      </c>
      <c r="I210" s="688"/>
      <c r="J210" s="688"/>
      <c r="K210" s="688">
        <f t="shared" si="34"/>
        <v>2039</v>
      </c>
      <c r="L210" s="688">
        <f>L198+1</f>
        <v>2039</v>
      </c>
    </row>
    <row r="211" spans="2:12" x14ac:dyDescent="0.25">
      <c r="B211" s="579">
        <v>51033</v>
      </c>
      <c r="C211" s="751">
        <f t="shared" si="29"/>
        <v>31</v>
      </c>
      <c r="D211" s="747">
        <f t="shared" si="30"/>
        <v>0</v>
      </c>
      <c r="E211" s="747">
        <f t="shared" si="31"/>
        <v>0</v>
      </c>
      <c r="F211" s="752">
        <f t="shared" si="32"/>
        <v>0</v>
      </c>
      <c r="G211" s="753">
        <f t="shared" si="33"/>
        <v>0</v>
      </c>
      <c r="H211" s="750">
        <f t="shared" si="35"/>
        <v>0</v>
      </c>
      <c r="I211" s="688"/>
      <c r="J211" s="688"/>
      <c r="K211" s="688">
        <f t="shared" si="34"/>
        <v>2039</v>
      </c>
      <c r="L211" s="688"/>
    </row>
    <row r="212" spans="2:12" ht="15.75" thickBot="1" x14ac:dyDescent="0.3">
      <c r="B212" s="765">
        <v>51063</v>
      </c>
      <c r="C212" s="751">
        <f t="shared" si="29"/>
        <v>30</v>
      </c>
      <c r="D212" s="747">
        <f t="shared" si="30"/>
        <v>0</v>
      </c>
      <c r="E212" s="747">
        <f t="shared" si="31"/>
        <v>0</v>
      </c>
      <c r="F212" s="752">
        <f t="shared" si="32"/>
        <v>0</v>
      </c>
      <c r="G212" s="753">
        <f t="shared" si="33"/>
        <v>0</v>
      </c>
      <c r="H212" s="750">
        <f t="shared" si="35"/>
        <v>0</v>
      </c>
      <c r="I212" s="688"/>
      <c r="J212" s="688"/>
      <c r="K212" s="688">
        <f t="shared" si="34"/>
        <v>2039</v>
      </c>
      <c r="L212" s="688"/>
    </row>
    <row r="213" spans="2:12" x14ac:dyDescent="0.25">
      <c r="B213" s="579">
        <v>51094</v>
      </c>
      <c r="C213" s="751">
        <f t="shared" si="29"/>
        <v>31</v>
      </c>
      <c r="D213" s="747">
        <f t="shared" si="30"/>
        <v>0</v>
      </c>
      <c r="E213" s="747">
        <f t="shared" si="31"/>
        <v>0</v>
      </c>
      <c r="F213" s="752">
        <f t="shared" si="32"/>
        <v>0</v>
      </c>
      <c r="G213" s="753">
        <f t="shared" si="33"/>
        <v>0</v>
      </c>
      <c r="H213" s="750">
        <f t="shared" si="35"/>
        <v>0</v>
      </c>
      <c r="I213" s="688"/>
      <c r="J213" s="688"/>
      <c r="K213" s="688">
        <f t="shared" si="34"/>
        <v>2039</v>
      </c>
      <c r="L213" s="688"/>
    </row>
    <row r="214" spans="2:12" ht="15.75" thickBot="1" x14ac:dyDescent="0.3">
      <c r="B214" s="765">
        <v>51124</v>
      </c>
      <c r="C214" s="751">
        <f t="shared" si="29"/>
        <v>30</v>
      </c>
      <c r="D214" s="747">
        <f t="shared" si="30"/>
        <v>0</v>
      </c>
      <c r="E214" s="747">
        <f t="shared" si="31"/>
        <v>0</v>
      </c>
      <c r="F214" s="752">
        <f t="shared" si="32"/>
        <v>0</v>
      </c>
      <c r="G214" s="753">
        <f t="shared" si="33"/>
        <v>0</v>
      </c>
      <c r="H214" s="750">
        <f t="shared" si="35"/>
        <v>0</v>
      </c>
      <c r="I214" s="688"/>
      <c r="J214" s="688"/>
      <c r="K214" s="688">
        <f t="shared" si="34"/>
        <v>2039</v>
      </c>
      <c r="L214" s="688"/>
    </row>
    <row r="215" spans="2:12" x14ac:dyDescent="0.25">
      <c r="B215" s="579">
        <v>51155</v>
      </c>
      <c r="C215" s="751">
        <f t="shared" si="29"/>
        <v>31</v>
      </c>
      <c r="D215" s="747">
        <f t="shared" si="30"/>
        <v>0</v>
      </c>
      <c r="E215" s="747">
        <f t="shared" si="31"/>
        <v>0</v>
      </c>
      <c r="F215" s="752">
        <f t="shared" si="32"/>
        <v>0</v>
      </c>
      <c r="G215" s="753">
        <f t="shared" si="33"/>
        <v>0</v>
      </c>
      <c r="H215" s="750">
        <f t="shared" si="35"/>
        <v>0</v>
      </c>
      <c r="I215" s="688"/>
      <c r="J215" s="688"/>
      <c r="K215" s="688">
        <f t="shared" si="34"/>
        <v>2040</v>
      </c>
      <c r="L215" s="688"/>
    </row>
    <row r="216" spans="2:12" ht="15.75" thickBot="1" x14ac:dyDescent="0.3">
      <c r="B216" s="765">
        <v>51186</v>
      </c>
      <c r="C216" s="751">
        <f t="shared" si="29"/>
        <v>31</v>
      </c>
      <c r="D216" s="747">
        <f t="shared" si="30"/>
        <v>0</v>
      </c>
      <c r="E216" s="747">
        <f t="shared" si="31"/>
        <v>0</v>
      </c>
      <c r="F216" s="752">
        <f t="shared" si="32"/>
        <v>0</v>
      </c>
      <c r="G216" s="753">
        <f t="shared" si="33"/>
        <v>0</v>
      </c>
      <c r="H216" s="750">
        <f t="shared" si="35"/>
        <v>0</v>
      </c>
      <c r="I216" s="688"/>
      <c r="J216" s="688"/>
      <c r="K216" s="688">
        <f t="shared" si="34"/>
        <v>2040</v>
      </c>
      <c r="L216" s="688"/>
    </row>
    <row r="217" spans="2:12" x14ac:dyDescent="0.25">
      <c r="B217" s="579">
        <v>51215</v>
      </c>
      <c r="C217" s="751">
        <f t="shared" si="29"/>
        <v>29</v>
      </c>
      <c r="D217" s="747">
        <f t="shared" si="30"/>
        <v>0</v>
      </c>
      <c r="E217" s="747">
        <f t="shared" si="31"/>
        <v>0</v>
      </c>
      <c r="F217" s="752">
        <f t="shared" si="32"/>
        <v>0</v>
      </c>
      <c r="G217" s="753">
        <f t="shared" si="33"/>
        <v>0</v>
      </c>
      <c r="H217" s="750">
        <f t="shared" si="35"/>
        <v>0</v>
      </c>
      <c r="I217" s="688"/>
      <c r="J217" s="688"/>
      <c r="K217" s="688">
        <f t="shared" si="34"/>
        <v>2040</v>
      </c>
      <c r="L217" s="688"/>
    </row>
    <row r="218" spans="2:12" ht="15.75" thickBot="1" x14ac:dyDescent="0.3">
      <c r="B218" s="765">
        <v>51246</v>
      </c>
      <c r="C218" s="751">
        <f t="shared" si="29"/>
        <v>31</v>
      </c>
      <c r="D218" s="747">
        <f t="shared" si="30"/>
        <v>0</v>
      </c>
      <c r="E218" s="747">
        <f t="shared" si="31"/>
        <v>0</v>
      </c>
      <c r="F218" s="752">
        <f t="shared" si="32"/>
        <v>0</v>
      </c>
      <c r="G218" s="753">
        <f t="shared" si="33"/>
        <v>0</v>
      </c>
      <c r="H218" s="750">
        <f t="shared" si="35"/>
        <v>0</v>
      </c>
      <c r="I218" s="688"/>
      <c r="J218" s="688"/>
      <c r="K218" s="688">
        <f t="shared" si="34"/>
        <v>2040</v>
      </c>
      <c r="L218" s="688"/>
    </row>
    <row r="219" spans="2:12" x14ac:dyDescent="0.25">
      <c r="B219" s="579">
        <v>51276</v>
      </c>
      <c r="C219" s="751">
        <f t="shared" si="29"/>
        <v>30</v>
      </c>
      <c r="D219" s="747">
        <f t="shared" si="30"/>
        <v>0</v>
      </c>
      <c r="E219" s="747">
        <f t="shared" si="31"/>
        <v>0</v>
      </c>
      <c r="F219" s="752">
        <f t="shared" si="32"/>
        <v>0</v>
      </c>
      <c r="G219" s="753">
        <f t="shared" si="33"/>
        <v>0</v>
      </c>
      <c r="H219" s="750">
        <f t="shared" si="35"/>
        <v>0</v>
      </c>
      <c r="I219" s="688"/>
      <c r="J219" s="688"/>
      <c r="K219" s="688">
        <f t="shared" si="34"/>
        <v>2040</v>
      </c>
      <c r="L219" s="688"/>
    </row>
    <row r="220" spans="2:12" ht="15.75" thickBot="1" x14ac:dyDescent="0.3">
      <c r="B220" s="765">
        <v>51307</v>
      </c>
      <c r="C220" s="751">
        <f t="shared" si="29"/>
        <v>31</v>
      </c>
      <c r="D220" s="747">
        <f t="shared" si="30"/>
        <v>0</v>
      </c>
      <c r="E220" s="747">
        <f t="shared" si="31"/>
        <v>0</v>
      </c>
      <c r="F220" s="752">
        <f t="shared" si="32"/>
        <v>0</v>
      </c>
      <c r="G220" s="753">
        <f t="shared" si="33"/>
        <v>0</v>
      </c>
      <c r="H220" s="750">
        <f t="shared" si="35"/>
        <v>0</v>
      </c>
      <c r="I220" s="688"/>
      <c r="J220" s="688"/>
      <c r="K220" s="688">
        <f t="shared" si="34"/>
        <v>2040</v>
      </c>
      <c r="L220" s="688"/>
    </row>
    <row r="221" spans="2:12" x14ac:dyDescent="0.25">
      <c r="B221" s="579">
        <v>51337</v>
      </c>
      <c r="C221" s="751">
        <f t="shared" si="29"/>
        <v>30</v>
      </c>
      <c r="D221" s="747">
        <f t="shared" si="30"/>
        <v>0</v>
      </c>
      <c r="E221" s="747">
        <f t="shared" si="31"/>
        <v>0</v>
      </c>
      <c r="F221" s="752">
        <f t="shared" si="32"/>
        <v>0</v>
      </c>
      <c r="G221" s="753">
        <f t="shared" si="33"/>
        <v>0</v>
      </c>
      <c r="H221" s="750">
        <f t="shared" si="35"/>
        <v>0</v>
      </c>
      <c r="I221" s="688"/>
      <c r="J221" s="688"/>
      <c r="K221" s="688">
        <f t="shared" si="34"/>
        <v>2040</v>
      </c>
      <c r="L221" s="688"/>
    </row>
    <row r="222" spans="2:12" ht="15.75" thickBot="1" x14ac:dyDescent="0.3">
      <c r="B222" s="765">
        <v>51368</v>
      </c>
      <c r="C222" s="751">
        <f t="shared" si="29"/>
        <v>31</v>
      </c>
      <c r="D222" s="747">
        <f t="shared" si="30"/>
        <v>0</v>
      </c>
      <c r="E222" s="747">
        <f t="shared" si="31"/>
        <v>0</v>
      </c>
      <c r="F222" s="752">
        <f t="shared" si="32"/>
        <v>0</v>
      </c>
      <c r="G222" s="753">
        <f t="shared" si="33"/>
        <v>0</v>
      </c>
      <c r="H222" s="750">
        <f t="shared" si="35"/>
        <v>0</v>
      </c>
      <c r="I222" s="688"/>
      <c r="J222" s="688"/>
      <c r="K222" s="688">
        <f t="shared" si="34"/>
        <v>2040</v>
      </c>
      <c r="L222" s="688">
        <f>L210+1</f>
        <v>2040</v>
      </c>
    </row>
    <row r="223" spans="2:12" x14ac:dyDescent="0.25">
      <c r="B223" s="579">
        <v>51399</v>
      </c>
      <c r="C223" s="751">
        <f t="shared" si="29"/>
        <v>31</v>
      </c>
      <c r="D223" s="747">
        <f t="shared" si="30"/>
        <v>0</v>
      </c>
      <c r="E223" s="747">
        <f t="shared" si="31"/>
        <v>0</v>
      </c>
      <c r="F223" s="752">
        <f t="shared" si="32"/>
        <v>0</v>
      </c>
      <c r="G223" s="753">
        <f t="shared" si="33"/>
        <v>0</v>
      </c>
      <c r="H223" s="750">
        <f t="shared" si="35"/>
        <v>0</v>
      </c>
      <c r="I223" s="688"/>
      <c r="J223" s="688"/>
      <c r="K223" s="688">
        <f t="shared" si="34"/>
        <v>2040</v>
      </c>
      <c r="L223" s="688"/>
    </row>
    <row r="224" spans="2:12" ht="15.75" thickBot="1" x14ac:dyDescent="0.3">
      <c r="B224" s="765">
        <v>51429</v>
      </c>
      <c r="C224" s="751">
        <f t="shared" si="29"/>
        <v>30</v>
      </c>
      <c r="D224" s="747">
        <f t="shared" si="30"/>
        <v>0</v>
      </c>
      <c r="E224" s="747">
        <f t="shared" si="31"/>
        <v>0</v>
      </c>
      <c r="F224" s="752">
        <f t="shared" si="32"/>
        <v>0</v>
      </c>
      <c r="G224" s="753">
        <f t="shared" si="33"/>
        <v>0</v>
      </c>
      <c r="H224" s="750">
        <f t="shared" si="35"/>
        <v>0</v>
      </c>
      <c r="I224" s="688"/>
      <c r="J224" s="688"/>
      <c r="K224" s="688">
        <f t="shared" si="34"/>
        <v>2040</v>
      </c>
      <c r="L224" s="688"/>
    </row>
    <row r="225" spans="2:12" x14ac:dyDescent="0.25">
      <c r="B225" s="579">
        <v>51460</v>
      </c>
      <c r="C225" s="751">
        <f t="shared" si="29"/>
        <v>31</v>
      </c>
      <c r="D225" s="747">
        <f t="shared" si="30"/>
        <v>0</v>
      </c>
      <c r="E225" s="747">
        <f t="shared" si="31"/>
        <v>0</v>
      </c>
      <c r="F225" s="752">
        <f t="shared" si="32"/>
        <v>0</v>
      </c>
      <c r="G225" s="753">
        <f t="shared" si="33"/>
        <v>0</v>
      </c>
      <c r="H225" s="750">
        <f t="shared" si="35"/>
        <v>0</v>
      </c>
      <c r="I225" s="688"/>
      <c r="J225" s="688"/>
      <c r="K225" s="688">
        <f t="shared" si="34"/>
        <v>2040</v>
      </c>
      <c r="L225" s="688"/>
    </row>
    <row r="226" spans="2:12" ht="15.75" thickBot="1" x14ac:dyDescent="0.3">
      <c r="B226" s="765">
        <v>51490</v>
      </c>
      <c r="C226" s="751">
        <f t="shared" si="29"/>
        <v>30</v>
      </c>
      <c r="D226" s="747">
        <f t="shared" si="30"/>
        <v>0</v>
      </c>
      <c r="E226" s="747">
        <f t="shared" si="31"/>
        <v>0</v>
      </c>
      <c r="F226" s="752">
        <f t="shared" si="32"/>
        <v>0</v>
      </c>
      <c r="G226" s="753">
        <f t="shared" si="33"/>
        <v>0</v>
      </c>
      <c r="H226" s="750">
        <f t="shared" si="35"/>
        <v>0</v>
      </c>
      <c r="I226" s="688"/>
      <c r="J226" s="688"/>
      <c r="K226" s="688">
        <f t="shared" si="34"/>
        <v>2040</v>
      </c>
      <c r="L226" s="688"/>
    </row>
    <row r="227" spans="2:12" x14ac:dyDescent="0.25">
      <c r="B227" s="579">
        <v>51521</v>
      </c>
      <c r="C227" s="751">
        <f t="shared" ref="C227:C281" si="36">B227-B226</f>
        <v>31</v>
      </c>
      <c r="D227" s="747">
        <f t="shared" ref="D227:D281" si="37">IF(F226&lt;=0.1,0,$F$42/$G$39)</f>
        <v>0</v>
      </c>
      <c r="E227" s="747">
        <f t="shared" ref="E227:E281" si="38">IF(D227&lt;0.1,0,(F226*C227*H227/36500))</f>
        <v>0</v>
      </c>
      <c r="F227" s="752">
        <f t="shared" ref="F227:F281" si="39">F226-D227</f>
        <v>0</v>
      </c>
      <c r="G227" s="753">
        <f t="shared" ref="G227:G281" si="40">D227+E227</f>
        <v>0</v>
      </c>
      <c r="H227" s="750">
        <f t="shared" si="35"/>
        <v>0</v>
      </c>
      <c r="I227" s="688"/>
      <c r="J227" s="688"/>
      <c r="K227" s="688">
        <f t="shared" si="34"/>
        <v>2041</v>
      </c>
      <c r="L227" s="688"/>
    </row>
    <row r="228" spans="2:12" ht="15.75" thickBot="1" x14ac:dyDescent="0.3">
      <c r="B228" s="765">
        <v>51552</v>
      </c>
      <c r="C228" s="751">
        <f t="shared" si="36"/>
        <v>31</v>
      </c>
      <c r="D228" s="747">
        <f t="shared" si="37"/>
        <v>0</v>
      </c>
      <c r="E228" s="747">
        <f t="shared" si="38"/>
        <v>0</v>
      </c>
      <c r="F228" s="752">
        <f t="shared" si="39"/>
        <v>0</v>
      </c>
      <c r="G228" s="753">
        <f t="shared" si="40"/>
        <v>0</v>
      </c>
      <c r="H228" s="750">
        <f t="shared" si="35"/>
        <v>0</v>
      </c>
      <c r="I228" s="688"/>
      <c r="J228" s="688"/>
      <c r="K228" s="688">
        <f t="shared" si="34"/>
        <v>2041</v>
      </c>
      <c r="L228" s="688"/>
    </row>
    <row r="229" spans="2:12" x14ac:dyDescent="0.25">
      <c r="B229" s="579">
        <v>51580</v>
      </c>
      <c r="C229" s="751">
        <f t="shared" si="36"/>
        <v>28</v>
      </c>
      <c r="D229" s="747">
        <f t="shared" si="37"/>
        <v>0</v>
      </c>
      <c r="E229" s="747">
        <f t="shared" si="38"/>
        <v>0</v>
      </c>
      <c r="F229" s="752">
        <f t="shared" si="39"/>
        <v>0</v>
      </c>
      <c r="G229" s="753">
        <f t="shared" si="40"/>
        <v>0</v>
      </c>
      <c r="H229" s="750">
        <f t="shared" si="35"/>
        <v>0</v>
      </c>
      <c r="I229" s="688"/>
      <c r="J229" s="688"/>
      <c r="K229" s="688">
        <f t="shared" ref="K229:K281" si="41">YEAR(B229)</f>
        <v>2041</v>
      </c>
      <c r="L229" s="688"/>
    </row>
    <row r="230" spans="2:12" ht="15.75" thickBot="1" x14ac:dyDescent="0.3">
      <c r="B230" s="765">
        <v>51611</v>
      </c>
      <c r="C230" s="751">
        <f t="shared" si="36"/>
        <v>31</v>
      </c>
      <c r="D230" s="747">
        <f t="shared" si="37"/>
        <v>0</v>
      </c>
      <c r="E230" s="747">
        <f t="shared" si="38"/>
        <v>0</v>
      </c>
      <c r="F230" s="752">
        <f t="shared" si="39"/>
        <v>0</v>
      </c>
      <c r="G230" s="753">
        <f t="shared" si="40"/>
        <v>0</v>
      </c>
      <c r="H230" s="750">
        <f t="shared" si="35"/>
        <v>0</v>
      </c>
      <c r="I230" s="688"/>
      <c r="J230" s="688"/>
      <c r="K230" s="688">
        <f t="shared" si="41"/>
        <v>2041</v>
      </c>
      <c r="L230" s="688"/>
    </row>
    <row r="231" spans="2:12" x14ac:dyDescent="0.25">
      <c r="B231" s="579">
        <v>51641</v>
      </c>
      <c r="C231" s="751">
        <f t="shared" si="36"/>
        <v>30</v>
      </c>
      <c r="D231" s="747">
        <f t="shared" si="37"/>
        <v>0</v>
      </c>
      <c r="E231" s="747">
        <f t="shared" si="38"/>
        <v>0</v>
      </c>
      <c r="F231" s="752">
        <f t="shared" si="39"/>
        <v>0</v>
      </c>
      <c r="G231" s="753">
        <f t="shared" si="40"/>
        <v>0</v>
      </c>
      <c r="H231" s="750">
        <f t="shared" si="35"/>
        <v>0</v>
      </c>
      <c r="I231" s="688"/>
      <c r="J231" s="688"/>
      <c r="K231" s="688">
        <f t="shared" si="41"/>
        <v>2041</v>
      </c>
      <c r="L231" s="688"/>
    </row>
    <row r="232" spans="2:12" ht="15.75" thickBot="1" x14ac:dyDescent="0.3">
      <c r="B232" s="765">
        <v>51672</v>
      </c>
      <c r="C232" s="751">
        <f t="shared" si="36"/>
        <v>31</v>
      </c>
      <c r="D232" s="747">
        <f t="shared" si="37"/>
        <v>0</v>
      </c>
      <c r="E232" s="747">
        <f t="shared" si="38"/>
        <v>0</v>
      </c>
      <c r="F232" s="752">
        <f t="shared" si="39"/>
        <v>0</v>
      </c>
      <c r="G232" s="753">
        <f t="shared" si="40"/>
        <v>0</v>
      </c>
      <c r="H232" s="750">
        <f t="shared" si="35"/>
        <v>0</v>
      </c>
      <c r="I232" s="688"/>
      <c r="J232" s="688"/>
      <c r="K232" s="688">
        <f t="shared" si="41"/>
        <v>2041</v>
      </c>
      <c r="L232" s="688"/>
    </row>
    <row r="233" spans="2:12" x14ac:dyDescent="0.25">
      <c r="B233" s="579">
        <v>51702</v>
      </c>
      <c r="C233" s="751">
        <f t="shared" si="36"/>
        <v>30</v>
      </c>
      <c r="D233" s="747">
        <f t="shared" si="37"/>
        <v>0</v>
      </c>
      <c r="E233" s="747">
        <f t="shared" si="38"/>
        <v>0</v>
      </c>
      <c r="F233" s="752">
        <f t="shared" si="39"/>
        <v>0</v>
      </c>
      <c r="G233" s="753">
        <f t="shared" si="40"/>
        <v>0</v>
      </c>
      <c r="H233" s="750">
        <f t="shared" si="35"/>
        <v>0</v>
      </c>
      <c r="I233" s="688"/>
      <c r="J233" s="688"/>
      <c r="K233" s="688">
        <f t="shared" si="41"/>
        <v>2041</v>
      </c>
      <c r="L233" s="688"/>
    </row>
    <row r="234" spans="2:12" ht="15.75" thickBot="1" x14ac:dyDescent="0.3">
      <c r="B234" s="765">
        <v>51733</v>
      </c>
      <c r="C234" s="751">
        <f t="shared" si="36"/>
        <v>31</v>
      </c>
      <c r="D234" s="747">
        <f t="shared" si="37"/>
        <v>0</v>
      </c>
      <c r="E234" s="747">
        <f t="shared" si="38"/>
        <v>0</v>
      </c>
      <c r="F234" s="752">
        <f t="shared" si="39"/>
        <v>0</v>
      </c>
      <c r="G234" s="753">
        <f t="shared" si="40"/>
        <v>0</v>
      </c>
      <c r="H234" s="750">
        <f t="shared" si="35"/>
        <v>0</v>
      </c>
      <c r="I234" s="688"/>
      <c r="J234" s="688"/>
      <c r="K234" s="688">
        <f t="shared" si="41"/>
        <v>2041</v>
      </c>
      <c r="L234" s="688">
        <f>L222+1</f>
        <v>2041</v>
      </c>
    </row>
    <row r="235" spans="2:12" x14ac:dyDescent="0.25">
      <c r="B235" s="579">
        <v>51764</v>
      </c>
      <c r="C235" s="751">
        <f t="shared" si="36"/>
        <v>31</v>
      </c>
      <c r="D235" s="747">
        <f t="shared" si="37"/>
        <v>0</v>
      </c>
      <c r="E235" s="747">
        <f t="shared" si="38"/>
        <v>0</v>
      </c>
      <c r="F235" s="752">
        <f t="shared" si="39"/>
        <v>0</v>
      </c>
      <c r="G235" s="753">
        <f t="shared" si="40"/>
        <v>0</v>
      </c>
      <c r="H235" s="750">
        <f t="shared" si="35"/>
        <v>0</v>
      </c>
      <c r="I235" s="688"/>
      <c r="J235" s="688"/>
      <c r="K235" s="688">
        <f t="shared" si="41"/>
        <v>2041</v>
      </c>
      <c r="L235" s="688"/>
    </row>
    <row r="236" spans="2:12" ht="15.75" thickBot="1" x14ac:dyDescent="0.3">
      <c r="B236" s="765">
        <v>51794</v>
      </c>
      <c r="C236" s="751">
        <f t="shared" si="36"/>
        <v>30</v>
      </c>
      <c r="D236" s="747">
        <f t="shared" si="37"/>
        <v>0</v>
      </c>
      <c r="E236" s="747">
        <f t="shared" si="38"/>
        <v>0</v>
      </c>
      <c r="F236" s="752">
        <f t="shared" si="39"/>
        <v>0</v>
      </c>
      <c r="G236" s="753">
        <f t="shared" si="40"/>
        <v>0</v>
      </c>
      <c r="H236" s="750">
        <f t="shared" si="35"/>
        <v>0</v>
      </c>
      <c r="I236" s="688"/>
      <c r="J236" s="688"/>
      <c r="K236" s="688">
        <f t="shared" si="41"/>
        <v>2041</v>
      </c>
      <c r="L236" s="688"/>
    </row>
    <row r="237" spans="2:12" x14ac:dyDescent="0.25">
      <c r="B237" s="579">
        <v>51825</v>
      </c>
      <c r="C237" s="751">
        <f t="shared" si="36"/>
        <v>31</v>
      </c>
      <c r="D237" s="747">
        <f t="shared" si="37"/>
        <v>0</v>
      </c>
      <c r="E237" s="747">
        <f t="shared" si="38"/>
        <v>0</v>
      </c>
      <c r="F237" s="752">
        <f t="shared" si="39"/>
        <v>0</v>
      </c>
      <c r="G237" s="753">
        <f t="shared" si="40"/>
        <v>0</v>
      </c>
      <c r="H237" s="750">
        <f t="shared" si="35"/>
        <v>0</v>
      </c>
      <c r="I237" s="688"/>
      <c r="J237" s="688"/>
      <c r="K237" s="688">
        <f t="shared" si="41"/>
        <v>2041</v>
      </c>
      <c r="L237" s="688"/>
    </row>
    <row r="238" spans="2:12" ht="15.75" thickBot="1" x14ac:dyDescent="0.3">
      <c r="B238" s="765">
        <v>51855</v>
      </c>
      <c r="C238" s="751">
        <f t="shared" si="36"/>
        <v>30</v>
      </c>
      <c r="D238" s="747">
        <f t="shared" si="37"/>
        <v>0</v>
      </c>
      <c r="E238" s="747">
        <f t="shared" si="38"/>
        <v>0</v>
      </c>
      <c r="F238" s="752">
        <f t="shared" si="39"/>
        <v>0</v>
      </c>
      <c r="G238" s="753">
        <f t="shared" si="40"/>
        <v>0</v>
      </c>
      <c r="H238" s="750">
        <f t="shared" si="35"/>
        <v>0</v>
      </c>
      <c r="I238" s="688"/>
      <c r="J238" s="688"/>
      <c r="K238" s="688">
        <f t="shared" si="41"/>
        <v>2041</v>
      </c>
      <c r="L238" s="688"/>
    </row>
    <row r="239" spans="2:12" x14ac:dyDescent="0.25">
      <c r="B239" s="579">
        <v>51886</v>
      </c>
      <c r="C239" s="751">
        <f t="shared" si="36"/>
        <v>31</v>
      </c>
      <c r="D239" s="747">
        <f t="shared" si="37"/>
        <v>0</v>
      </c>
      <c r="E239" s="747">
        <f t="shared" si="38"/>
        <v>0</v>
      </c>
      <c r="F239" s="752">
        <f t="shared" si="39"/>
        <v>0</v>
      </c>
      <c r="G239" s="753">
        <f t="shared" si="40"/>
        <v>0</v>
      </c>
      <c r="H239" s="750">
        <f t="shared" si="35"/>
        <v>0</v>
      </c>
      <c r="I239" s="688"/>
      <c r="J239" s="688"/>
      <c r="K239" s="688">
        <f t="shared" si="41"/>
        <v>2042</v>
      </c>
      <c r="L239" s="688"/>
    </row>
    <row r="240" spans="2:12" ht="15.75" thickBot="1" x14ac:dyDescent="0.3">
      <c r="B240" s="765">
        <v>51917</v>
      </c>
      <c r="C240" s="751">
        <f t="shared" si="36"/>
        <v>31</v>
      </c>
      <c r="D240" s="747">
        <f t="shared" si="37"/>
        <v>0</v>
      </c>
      <c r="E240" s="747">
        <f t="shared" si="38"/>
        <v>0</v>
      </c>
      <c r="F240" s="752">
        <f t="shared" si="39"/>
        <v>0</v>
      </c>
      <c r="G240" s="753">
        <f t="shared" si="40"/>
        <v>0</v>
      </c>
      <c r="H240" s="750">
        <f t="shared" si="35"/>
        <v>0</v>
      </c>
      <c r="I240" s="688"/>
      <c r="J240" s="688"/>
      <c r="K240" s="688">
        <f t="shared" si="41"/>
        <v>2042</v>
      </c>
      <c r="L240" s="688"/>
    </row>
    <row r="241" spans="2:12" x14ac:dyDescent="0.25">
      <c r="B241" s="579">
        <v>51945</v>
      </c>
      <c r="C241" s="751">
        <f t="shared" si="36"/>
        <v>28</v>
      </c>
      <c r="D241" s="747">
        <f t="shared" si="37"/>
        <v>0</v>
      </c>
      <c r="E241" s="747">
        <f t="shared" si="38"/>
        <v>0</v>
      </c>
      <c r="F241" s="752">
        <f t="shared" si="39"/>
        <v>0</v>
      </c>
      <c r="G241" s="753">
        <f t="shared" si="40"/>
        <v>0</v>
      </c>
      <c r="H241" s="750">
        <f t="shared" si="35"/>
        <v>0</v>
      </c>
      <c r="I241" s="688"/>
      <c r="J241" s="688"/>
      <c r="K241" s="688">
        <f t="shared" si="41"/>
        <v>2042</v>
      </c>
      <c r="L241" s="688"/>
    </row>
    <row r="242" spans="2:12" ht="15.75" thickBot="1" x14ac:dyDescent="0.3">
      <c r="B242" s="765">
        <v>51976</v>
      </c>
      <c r="C242" s="751">
        <f t="shared" si="36"/>
        <v>31</v>
      </c>
      <c r="D242" s="747">
        <f t="shared" si="37"/>
        <v>0</v>
      </c>
      <c r="E242" s="747">
        <f t="shared" si="38"/>
        <v>0</v>
      </c>
      <c r="F242" s="752">
        <f t="shared" si="39"/>
        <v>0</v>
      </c>
      <c r="G242" s="753">
        <f t="shared" si="40"/>
        <v>0</v>
      </c>
      <c r="H242" s="750">
        <f t="shared" si="35"/>
        <v>0</v>
      </c>
      <c r="I242" s="688"/>
      <c r="J242" s="688"/>
      <c r="K242" s="688">
        <f t="shared" si="41"/>
        <v>2042</v>
      </c>
      <c r="L242" s="688"/>
    </row>
    <row r="243" spans="2:12" x14ac:dyDescent="0.25">
      <c r="B243" s="579">
        <v>52006</v>
      </c>
      <c r="C243" s="751">
        <f t="shared" si="36"/>
        <v>30</v>
      </c>
      <c r="D243" s="747">
        <f t="shared" si="37"/>
        <v>0</v>
      </c>
      <c r="E243" s="747">
        <f t="shared" si="38"/>
        <v>0</v>
      </c>
      <c r="F243" s="752">
        <f t="shared" si="39"/>
        <v>0</v>
      </c>
      <c r="G243" s="753">
        <f t="shared" si="40"/>
        <v>0</v>
      </c>
      <c r="H243" s="750">
        <f t="shared" si="35"/>
        <v>0</v>
      </c>
      <c r="I243" s="688"/>
      <c r="J243" s="688"/>
      <c r="K243" s="688">
        <f t="shared" si="41"/>
        <v>2042</v>
      </c>
      <c r="L243" s="688"/>
    </row>
    <row r="244" spans="2:12" ht="15.75" thickBot="1" x14ac:dyDescent="0.3">
      <c r="B244" s="765">
        <v>52037</v>
      </c>
      <c r="C244" s="751">
        <f t="shared" si="36"/>
        <v>31</v>
      </c>
      <c r="D244" s="747">
        <f t="shared" si="37"/>
        <v>0</v>
      </c>
      <c r="E244" s="747">
        <f t="shared" si="38"/>
        <v>0</v>
      </c>
      <c r="F244" s="752">
        <f t="shared" si="39"/>
        <v>0</v>
      </c>
      <c r="G244" s="753">
        <f t="shared" si="40"/>
        <v>0</v>
      </c>
      <c r="H244" s="750">
        <f t="shared" si="35"/>
        <v>0</v>
      </c>
      <c r="I244" s="688"/>
      <c r="J244" s="688"/>
      <c r="K244" s="688">
        <f t="shared" si="41"/>
        <v>2042</v>
      </c>
      <c r="L244" s="688"/>
    </row>
    <row r="245" spans="2:12" x14ac:dyDescent="0.25">
      <c r="B245" s="579">
        <v>52067</v>
      </c>
      <c r="C245" s="751">
        <f t="shared" si="36"/>
        <v>30</v>
      </c>
      <c r="D245" s="747">
        <f t="shared" si="37"/>
        <v>0</v>
      </c>
      <c r="E245" s="747">
        <f t="shared" si="38"/>
        <v>0</v>
      </c>
      <c r="F245" s="752">
        <f t="shared" si="39"/>
        <v>0</v>
      </c>
      <c r="G245" s="753">
        <f t="shared" si="40"/>
        <v>0</v>
      </c>
      <c r="H245" s="750">
        <f t="shared" si="35"/>
        <v>0</v>
      </c>
      <c r="I245" s="688"/>
      <c r="J245" s="688"/>
      <c r="K245" s="688">
        <f t="shared" si="41"/>
        <v>2042</v>
      </c>
      <c r="L245" s="688"/>
    </row>
    <row r="246" spans="2:12" ht="15.75" thickBot="1" x14ac:dyDescent="0.3">
      <c r="B246" s="765">
        <v>52098</v>
      </c>
      <c r="C246" s="751">
        <f t="shared" si="36"/>
        <v>31</v>
      </c>
      <c r="D246" s="747">
        <f t="shared" si="37"/>
        <v>0</v>
      </c>
      <c r="E246" s="747">
        <f t="shared" si="38"/>
        <v>0</v>
      </c>
      <c r="F246" s="752">
        <f t="shared" si="39"/>
        <v>0</v>
      </c>
      <c r="G246" s="753">
        <f t="shared" si="40"/>
        <v>0</v>
      </c>
      <c r="H246" s="750">
        <f t="shared" si="35"/>
        <v>0</v>
      </c>
      <c r="I246" s="688"/>
      <c r="J246" s="688"/>
      <c r="K246" s="688">
        <f t="shared" si="41"/>
        <v>2042</v>
      </c>
      <c r="L246" s="688">
        <f>L234+1</f>
        <v>2042</v>
      </c>
    </row>
    <row r="247" spans="2:12" x14ac:dyDescent="0.25">
      <c r="B247" s="579">
        <v>52129</v>
      </c>
      <c r="C247" s="751">
        <f t="shared" si="36"/>
        <v>31</v>
      </c>
      <c r="D247" s="747">
        <f t="shared" si="37"/>
        <v>0</v>
      </c>
      <c r="E247" s="747">
        <f t="shared" si="38"/>
        <v>0</v>
      </c>
      <c r="F247" s="752">
        <f t="shared" si="39"/>
        <v>0</v>
      </c>
      <c r="G247" s="753">
        <f t="shared" si="40"/>
        <v>0</v>
      </c>
      <c r="H247" s="750">
        <f t="shared" si="35"/>
        <v>0</v>
      </c>
      <c r="I247" s="688"/>
      <c r="J247" s="688"/>
      <c r="K247" s="688">
        <f t="shared" si="41"/>
        <v>2042</v>
      </c>
      <c r="L247" s="688"/>
    </row>
    <row r="248" spans="2:12" ht="15.75" thickBot="1" x14ac:dyDescent="0.3">
      <c r="B248" s="765">
        <v>52159</v>
      </c>
      <c r="C248" s="751">
        <f t="shared" si="36"/>
        <v>30</v>
      </c>
      <c r="D248" s="747">
        <f t="shared" si="37"/>
        <v>0</v>
      </c>
      <c r="E248" s="747">
        <f t="shared" si="38"/>
        <v>0</v>
      </c>
      <c r="F248" s="752">
        <f t="shared" si="39"/>
        <v>0</v>
      </c>
      <c r="G248" s="753">
        <f t="shared" si="40"/>
        <v>0</v>
      </c>
      <c r="H248" s="750">
        <f t="shared" si="35"/>
        <v>0</v>
      </c>
      <c r="I248" s="688"/>
      <c r="J248" s="688"/>
      <c r="K248" s="688">
        <f t="shared" si="41"/>
        <v>2042</v>
      </c>
      <c r="L248" s="688"/>
    </row>
    <row r="249" spans="2:12" x14ac:dyDescent="0.25">
      <c r="B249" s="579">
        <v>52190</v>
      </c>
      <c r="C249" s="751">
        <f t="shared" si="36"/>
        <v>31</v>
      </c>
      <c r="D249" s="747">
        <f t="shared" si="37"/>
        <v>0</v>
      </c>
      <c r="E249" s="747">
        <f t="shared" si="38"/>
        <v>0</v>
      </c>
      <c r="F249" s="752">
        <f t="shared" si="39"/>
        <v>0</v>
      </c>
      <c r="G249" s="753">
        <f t="shared" si="40"/>
        <v>0</v>
      </c>
      <c r="H249" s="750">
        <f t="shared" si="35"/>
        <v>0</v>
      </c>
      <c r="I249" s="688"/>
      <c r="J249" s="688"/>
      <c r="K249" s="688">
        <f t="shared" si="41"/>
        <v>2042</v>
      </c>
      <c r="L249" s="688"/>
    </row>
    <row r="250" spans="2:12" ht="15.75" thickBot="1" x14ac:dyDescent="0.3">
      <c r="B250" s="765">
        <v>52220</v>
      </c>
      <c r="C250" s="751">
        <f t="shared" si="36"/>
        <v>30</v>
      </c>
      <c r="D250" s="747">
        <f t="shared" si="37"/>
        <v>0</v>
      </c>
      <c r="E250" s="747">
        <f t="shared" si="38"/>
        <v>0</v>
      </c>
      <c r="F250" s="752">
        <f t="shared" si="39"/>
        <v>0</v>
      </c>
      <c r="G250" s="753">
        <f t="shared" si="40"/>
        <v>0</v>
      </c>
      <c r="H250" s="750">
        <f t="shared" si="35"/>
        <v>0</v>
      </c>
      <c r="I250" s="688"/>
      <c r="J250" s="688"/>
      <c r="K250" s="688">
        <f t="shared" si="41"/>
        <v>2042</v>
      </c>
      <c r="L250" s="688"/>
    </row>
    <row r="251" spans="2:12" x14ac:dyDescent="0.25">
      <c r="B251" s="579">
        <v>52251</v>
      </c>
      <c r="C251" s="751">
        <f t="shared" si="36"/>
        <v>31</v>
      </c>
      <c r="D251" s="747">
        <f t="shared" si="37"/>
        <v>0</v>
      </c>
      <c r="E251" s="747">
        <f t="shared" si="38"/>
        <v>0</v>
      </c>
      <c r="F251" s="752">
        <f t="shared" si="39"/>
        <v>0</v>
      </c>
      <c r="G251" s="753">
        <f t="shared" si="40"/>
        <v>0</v>
      </c>
      <c r="H251" s="750">
        <f t="shared" si="35"/>
        <v>0</v>
      </c>
      <c r="I251" s="688"/>
      <c r="J251" s="688"/>
      <c r="K251" s="688">
        <f t="shared" si="41"/>
        <v>2043</v>
      </c>
      <c r="L251" s="688"/>
    </row>
    <row r="252" spans="2:12" ht="15.75" thickBot="1" x14ac:dyDescent="0.3">
      <c r="B252" s="765">
        <v>52282</v>
      </c>
      <c r="C252" s="751">
        <f t="shared" si="36"/>
        <v>31</v>
      </c>
      <c r="D252" s="747">
        <f t="shared" si="37"/>
        <v>0</v>
      </c>
      <c r="E252" s="747">
        <f t="shared" si="38"/>
        <v>0</v>
      </c>
      <c r="F252" s="752">
        <f t="shared" si="39"/>
        <v>0</v>
      </c>
      <c r="G252" s="753">
        <f t="shared" si="40"/>
        <v>0</v>
      </c>
      <c r="H252" s="750">
        <f t="shared" si="35"/>
        <v>0</v>
      </c>
      <c r="I252" s="688"/>
      <c r="J252" s="688"/>
      <c r="K252" s="688">
        <f t="shared" si="41"/>
        <v>2043</v>
      </c>
      <c r="L252" s="688"/>
    </row>
    <row r="253" spans="2:12" x14ac:dyDescent="0.25">
      <c r="B253" s="579">
        <v>52310</v>
      </c>
      <c r="C253" s="751">
        <f t="shared" si="36"/>
        <v>28</v>
      </c>
      <c r="D253" s="747">
        <f t="shared" si="37"/>
        <v>0</v>
      </c>
      <c r="E253" s="747">
        <f t="shared" si="38"/>
        <v>0</v>
      </c>
      <c r="F253" s="752">
        <f t="shared" si="39"/>
        <v>0</v>
      </c>
      <c r="G253" s="753">
        <f t="shared" si="40"/>
        <v>0</v>
      </c>
      <c r="H253" s="750">
        <f t="shared" si="35"/>
        <v>0</v>
      </c>
      <c r="I253" s="688"/>
      <c r="J253" s="688"/>
      <c r="K253" s="688">
        <f t="shared" si="41"/>
        <v>2043</v>
      </c>
      <c r="L253" s="688"/>
    </row>
    <row r="254" spans="2:12" ht="15.75" thickBot="1" x14ac:dyDescent="0.3">
      <c r="B254" s="765">
        <v>52341</v>
      </c>
      <c r="C254" s="751">
        <f t="shared" si="36"/>
        <v>31</v>
      </c>
      <c r="D254" s="747">
        <f t="shared" si="37"/>
        <v>0</v>
      </c>
      <c r="E254" s="747">
        <f t="shared" si="38"/>
        <v>0</v>
      </c>
      <c r="F254" s="752">
        <f t="shared" si="39"/>
        <v>0</v>
      </c>
      <c r="G254" s="753">
        <f t="shared" si="40"/>
        <v>0</v>
      </c>
      <c r="H254" s="750">
        <f t="shared" si="35"/>
        <v>0</v>
      </c>
      <c r="I254" s="688"/>
      <c r="J254" s="688"/>
      <c r="K254" s="688">
        <f t="shared" si="41"/>
        <v>2043</v>
      </c>
      <c r="L254" s="688"/>
    </row>
    <row r="255" spans="2:12" x14ac:dyDescent="0.25">
      <c r="B255" s="579">
        <v>52371</v>
      </c>
      <c r="C255" s="751">
        <f t="shared" si="36"/>
        <v>30</v>
      </c>
      <c r="D255" s="747">
        <f t="shared" si="37"/>
        <v>0</v>
      </c>
      <c r="E255" s="747">
        <f t="shared" si="38"/>
        <v>0</v>
      </c>
      <c r="F255" s="752">
        <f t="shared" si="39"/>
        <v>0</v>
      </c>
      <c r="G255" s="753">
        <f t="shared" si="40"/>
        <v>0</v>
      </c>
      <c r="H255" s="750">
        <f t="shared" si="35"/>
        <v>0</v>
      </c>
      <c r="I255" s="688"/>
      <c r="J255" s="688"/>
      <c r="K255" s="688">
        <f t="shared" si="41"/>
        <v>2043</v>
      </c>
      <c r="L255" s="688"/>
    </row>
    <row r="256" spans="2:12" ht="15.75" thickBot="1" x14ac:dyDescent="0.3">
      <c r="B256" s="765">
        <v>52402</v>
      </c>
      <c r="C256" s="751">
        <f t="shared" si="36"/>
        <v>31</v>
      </c>
      <c r="D256" s="747">
        <f t="shared" si="37"/>
        <v>0</v>
      </c>
      <c r="E256" s="747">
        <f t="shared" si="38"/>
        <v>0</v>
      </c>
      <c r="F256" s="752">
        <f t="shared" si="39"/>
        <v>0</v>
      </c>
      <c r="G256" s="753">
        <f t="shared" si="40"/>
        <v>0</v>
      </c>
      <c r="H256" s="750">
        <f t="shared" si="35"/>
        <v>0</v>
      </c>
      <c r="I256" s="688"/>
      <c r="J256" s="688"/>
      <c r="K256" s="688">
        <f t="shared" si="41"/>
        <v>2043</v>
      </c>
      <c r="L256" s="688"/>
    </row>
    <row r="257" spans="2:12" x14ac:dyDescent="0.25">
      <c r="B257" s="579">
        <v>52432</v>
      </c>
      <c r="C257" s="751">
        <f t="shared" si="36"/>
        <v>30</v>
      </c>
      <c r="D257" s="747">
        <f t="shared" si="37"/>
        <v>0</v>
      </c>
      <c r="E257" s="747">
        <f t="shared" si="38"/>
        <v>0</v>
      </c>
      <c r="F257" s="752">
        <f t="shared" si="39"/>
        <v>0</v>
      </c>
      <c r="G257" s="753">
        <f t="shared" si="40"/>
        <v>0</v>
      </c>
      <c r="H257" s="750">
        <f t="shared" si="35"/>
        <v>0</v>
      </c>
      <c r="I257" s="688"/>
      <c r="J257" s="688"/>
      <c r="K257" s="688">
        <f t="shared" si="41"/>
        <v>2043</v>
      </c>
      <c r="L257" s="688"/>
    </row>
    <row r="258" spans="2:12" ht="15.75" thickBot="1" x14ac:dyDescent="0.3">
      <c r="B258" s="765">
        <v>52463</v>
      </c>
      <c r="C258" s="751">
        <f t="shared" si="36"/>
        <v>31</v>
      </c>
      <c r="D258" s="747">
        <f t="shared" si="37"/>
        <v>0</v>
      </c>
      <c r="E258" s="747">
        <f t="shared" si="38"/>
        <v>0</v>
      </c>
      <c r="F258" s="752">
        <f t="shared" si="39"/>
        <v>0</v>
      </c>
      <c r="G258" s="753">
        <f t="shared" si="40"/>
        <v>0</v>
      </c>
      <c r="H258" s="750">
        <f t="shared" si="35"/>
        <v>0</v>
      </c>
      <c r="I258" s="688"/>
      <c r="J258" s="688"/>
      <c r="K258" s="688">
        <f t="shared" si="41"/>
        <v>2043</v>
      </c>
      <c r="L258" s="688">
        <f>L246+1</f>
        <v>2043</v>
      </c>
    </row>
    <row r="259" spans="2:12" x14ac:dyDescent="0.25">
      <c r="B259" s="579">
        <v>52494</v>
      </c>
      <c r="C259" s="751">
        <f t="shared" si="36"/>
        <v>31</v>
      </c>
      <c r="D259" s="747">
        <f t="shared" si="37"/>
        <v>0</v>
      </c>
      <c r="E259" s="747">
        <f t="shared" si="38"/>
        <v>0</v>
      </c>
      <c r="F259" s="752">
        <f t="shared" si="39"/>
        <v>0</v>
      </c>
      <c r="G259" s="753">
        <f t="shared" si="40"/>
        <v>0</v>
      </c>
      <c r="H259" s="750">
        <f t="shared" si="35"/>
        <v>0</v>
      </c>
      <c r="I259" s="688"/>
      <c r="J259" s="688"/>
      <c r="K259" s="688">
        <f t="shared" si="41"/>
        <v>2043</v>
      </c>
      <c r="L259" s="688"/>
    </row>
    <row r="260" spans="2:12" ht="15.75" thickBot="1" x14ac:dyDescent="0.3">
      <c r="B260" s="765">
        <v>52524</v>
      </c>
      <c r="C260" s="751">
        <f t="shared" si="36"/>
        <v>30</v>
      </c>
      <c r="D260" s="747">
        <f t="shared" si="37"/>
        <v>0</v>
      </c>
      <c r="E260" s="747">
        <f t="shared" si="38"/>
        <v>0</v>
      </c>
      <c r="F260" s="752">
        <f t="shared" si="39"/>
        <v>0</v>
      </c>
      <c r="G260" s="753">
        <f t="shared" si="40"/>
        <v>0</v>
      </c>
      <c r="H260" s="750">
        <f t="shared" si="35"/>
        <v>0</v>
      </c>
      <c r="I260" s="688"/>
      <c r="J260" s="688"/>
      <c r="K260" s="688">
        <f t="shared" si="41"/>
        <v>2043</v>
      </c>
      <c r="L260" s="688"/>
    </row>
    <row r="261" spans="2:12" x14ac:dyDescent="0.25">
      <c r="B261" s="579">
        <v>52555</v>
      </c>
      <c r="C261" s="751">
        <f t="shared" si="36"/>
        <v>31</v>
      </c>
      <c r="D261" s="747">
        <f t="shared" si="37"/>
        <v>0</v>
      </c>
      <c r="E261" s="747">
        <f t="shared" si="38"/>
        <v>0</v>
      </c>
      <c r="F261" s="752">
        <f t="shared" si="39"/>
        <v>0</v>
      </c>
      <c r="G261" s="753">
        <f t="shared" si="40"/>
        <v>0</v>
      </c>
      <c r="H261" s="750">
        <f t="shared" si="35"/>
        <v>0</v>
      </c>
      <c r="I261" s="688"/>
      <c r="J261" s="688"/>
      <c r="K261" s="688">
        <f t="shared" si="41"/>
        <v>2043</v>
      </c>
      <c r="L261" s="688"/>
    </row>
    <row r="262" spans="2:12" ht="15.75" thickBot="1" x14ac:dyDescent="0.3">
      <c r="B262" s="765">
        <v>52585</v>
      </c>
      <c r="C262" s="751">
        <f t="shared" si="36"/>
        <v>30</v>
      </c>
      <c r="D262" s="747">
        <f t="shared" si="37"/>
        <v>0</v>
      </c>
      <c r="E262" s="747">
        <f t="shared" si="38"/>
        <v>0</v>
      </c>
      <c r="F262" s="752">
        <f t="shared" si="39"/>
        <v>0</v>
      </c>
      <c r="G262" s="753">
        <f t="shared" si="40"/>
        <v>0</v>
      </c>
      <c r="H262" s="750">
        <f t="shared" si="35"/>
        <v>0</v>
      </c>
      <c r="I262" s="688"/>
      <c r="J262" s="688"/>
      <c r="K262" s="688">
        <f t="shared" si="41"/>
        <v>2043</v>
      </c>
      <c r="L262" s="688"/>
    </row>
    <row r="263" spans="2:12" x14ac:dyDescent="0.25">
      <c r="B263" s="579">
        <v>52616</v>
      </c>
      <c r="C263" s="751">
        <f t="shared" si="36"/>
        <v>31</v>
      </c>
      <c r="D263" s="747">
        <f t="shared" si="37"/>
        <v>0</v>
      </c>
      <c r="E263" s="747">
        <f t="shared" si="38"/>
        <v>0</v>
      </c>
      <c r="F263" s="752">
        <f t="shared" si="39"/>
        <v>0</v>
      </c>
      <c r="G263" s="753">
        <f t="shared" si="40"/>
        <v>0</v>
      </c>
      <c r="H263" s="750">
        <f t="shared" si="35"/>
        <v>0</v>
      </c>
      <c r="I263" s="688"/>
      <c r="J263" s="688"/>
      <c r="K263" s="688">
        <f t="shared" si="41"/>
        <v>2044</v>
      </c>
      <c r="L263" s="688"/>
    </row>
    <row r="264" spans="2:12" ht="15.75" thickBot="1" x14ac:dyDescent="0.3">
      <c r="B264" s="765">
        <v>52647</v>
      </c>
      <c r="C264" s="751">
        <f t="shared" si="36"/>
        <v>31</v>
      </c>
      <c r="D264" s="747">
        <f t="shared" si="37"/>
        <v>0</v>
      </c>
      <c r="E264" s="747">
        <f t="shared" si="38"/>
        <v>0</v>
      </c>
      <c r="F264" s="752">
        <f t="shared" si="39"/>
        <v>0</v>
      </c>
      <c r="G264" s="753">
        <f t="shared" si="40"/>
        <v>0</v>
      </c>
      <c r="H264" s="750">
        <f t="shared" si="35"/>
        <v>0</v>
      </c>
      <c r="I264" s="688"/>
      <c r="J264" s="688"/>
      <c r="K264" s="688">
        <f t="shared" si="41"/>
        <v>2044</v>
      </c>
      <c r="L264" s="688"/>
    </row>
    <row r="265" spans="2:12" x14ac:dyDescent="0.25">
      <c r="B265" s="579">
        <v>52676</v>
      </c>
      <c r="C265" s="751">
        <f t="shared" si="36"/>
        <v>29</v>
      </c>
      <c r="D265" s="747">
        <f t="shared" si="37"/>
        <v>0</v>
      </c>
      <c r="E265" s="747">
        <f t="shared" si="38"/>
        <v>0</v>
      </c>
      <c r="F265" s="752">
        <f t="shared" si="39"/>
        <v>0</v>
      </c>
      <c r="G265" s="753">
        <f t="shared" si="40"/>
        <v>0</v>
      </c>
      <c r="H265" s="750">
        <f t="shared" si="35"/>
        <v>0</v>
      </c>
      <c r="I265" s="688"/>
      <c r="J265" s="688"/>
      <c r="K265" s="688">
        <f t="shared" si="41"/>
        <v>2044</v>
      </c>
      <c r="L265" s="688"/>
    </row>
    <row r="266" spans="2:12" ht="15.75" thickBot="1" x14ac:dyDescent="0.3">
      <c r="B266" s="765">
        <v>52707</v>
      </c>
      <c r="C266" s="751">
        <f t="shared" si="36"/>
        <v>31</v>
      </c>
      <c r="D266" s="747">
        <f t="shared" si="37"/>
        <v>0</v>
      </c>
      <c r="E266" s="747">
        <f t="shared" si="38"/>
        <v>0</v>
      </c>
      <c r="F266" s="752">
        <f t="shared" si="39"/>
        <v>0</v>
      </c>
      <c r="G266" s="753">
        <f t="shared" si="40"/>
        <v>0</v>
      </c>
      <c r="H266" s="750">
        <f t="shared" si="35"/>
        <v>0</v>
      </c>
      <c r="I266" s="688"/>
      <c r="J266" s="688"/>
      <c r="K266" s="688">
        <f t="shared" si="41"/>
        <v>2044</v>
      </c>
      <c r="L266" s="688"/>
    </row>
    <row r="267" spans="2:12" x14ac:dyDescent="0.25">
      <c r="B267" s="579">
        <v>52737</v>
      </c>
      <c r="C267" s="751">
        <f t="shared" si="36"/>
        <v>30</v>
      </c>
      <c r="D267" s="747">
        <f t="shared" si="37"/>
        <v>0</v>
      </c>
      <c r="E267" s="747">
        <f t="shared" si="38"/>
        <v>0</v>
      </c>
      <c r="F267" s="752">
        <f t="shared" si="39"/>
        <v>0</v>
      </c>
      <c r="G267" s="753">
        <f t="shared" si="40"/>
        <v>0</v>
      </c>
      <c r="H267" s="750">
        <f t="shared" si="35"/>
        <v>0</v>
      </c>
      <c r="I267" s="688"/>
      <c r="J267" s="688"/>
      <c r="K267" s="688">
        <f t="shared" si="41"/>
        <v>2044</v>
      </c>
      <c r="L267" s="688"/>
    </row>
    <row r="268" spans="2:12" ht="15.75" thickBot="1" x14ac:dyDescent="0.3">
      <c r="B268" s="765">
        <v>52768</v>
      </c>
      <c r="C268" s="751">
        <f t="shared" si="36"/>
        <v>31</v>
      </c>
      <c r="D268" s="747">
        <f t="shared" si="37"/>
        <v>0</v>
      </c>
      <c r="E268" s="747">
        <f t="shared" si="38"/>
        <v>0</v>
      </c>
      <c r="F268" s="752">
        <f t="shared" si="39"/>
        <v>0</v>
      </c>
      <c r="G268" s="753">
        <f t="shared" si="40"/>
        <v>0</v>
      </c>
      <c r="H268" s="750">
        <f t="shared" ref="H268:H281" si="42">$H$43</f>
        <v>0</v>
      </c>
      <c r="I268" s="688"/>
      <c r="J268" s="688"/>
      <c r="K268" s="688">
        <f t="shared" si="41"/>
        <v>2044</v>
      </c>
      <c r="L268" s="688"/>
    </row>
    <row r="269" spans="2:12" x14ac:dyDescent="0.25">
      <c r="B269" s="579">
        <v>52798</v>
      </c>
      <c r="C269" s="751">
        <f t="shared" si="36"/>
        <v>30</v>
      </c>
      <c r="D269" s="747">
        <f t="shared" si="37"/>
        <v>0</v>
      </c>
      <c r="E269" s="747">
        <f t="shared" si="38"/>
        <v>0</v>
      </c>
      <c r="F269" s="752">
        <f t="shared" si="39"/>
        <v>0</v>
      </c>
      <c r="G269" s="753">
        <f t="shared" si="40"/>
        <v>0</v>
      </c>
      <c r="H269" s="750">
        <f t="shared" si="42"/>
        <v>0</v>
      </c>
      <c r="I269" s="688"/>
      <c r="J269" s="688"/>
      <c r="K269" s="688">
        <f t="shared" si="41"/>
        <v>2044</v>
      </c>
      <c r="L269" s="688"/>
    </row>
    <row r="270" spans="2:12" ht="15.75" thickBot="1" x14ac:dyDescent="0.3">
      <c r="B270" s="765">
        <v>52829</v>
      </c>
      <c r="C270" s="751">
        <f t="shared" si="36"/>
        <v>31</v>
      </c>
      <c r="D270" s="747">
        <f t="shared" si="37"/>
        <v>0</v>
      </c>
      <c r="E270" s="747">
        <f t="shared" si="38"/>
        <v>0</v>
      </c>
      <c r="F270" s="752">
        <f t="shared" si="39"/>
        <v>0</v>
      </c>
      <c r="G270" s="753">
        <f t="shared" si="40"/>
        <v>0</v>
      </c>
      <c r="H270" s="750">
        <f t="shared" si="42"/>
        <v>0</v>
      </c>
      <c r="I270" s="688"/>
      <c r="J270" s="688"/>
      <c r="K270" s="688">
        <f t="shared" si="41"/>
        <v>2044</v>
      </c>
      <c r="L270" s="688">
        <f>L258+1</f>
        <v>2044</v>
      </c>
    </row>
    <row r="271" spans="2:12" x14ac:dyDescent="0.25">
      <c r="B271" s="579">
        <v>52860</v>
      </c>
      <c r="C271" s="751">
        <f t="shared" si="36"/>
        <v>31</v>
      </c>
      <c r="D271" s="747">
        <f t="shared" si="37"/>
        <v>0</v>
      </c>
      <c r="E271" s="747">
        <f t="shared" si="38"/>
        <v>0</v>
      </c>
      <c r="F271" s="752">
        <f t="shared" si="39"/>
        <v>0</v>
      </c>
      <c r="G271" s="753">
        <f t="shared" si="40"/>
        <v>0</v>
      </c>
      <c r="H271" s="750">
        <f t="shared" si="42"/>
        <v>0</v>
      </c>
      <c r="I271" s="688"/>
      <c r="J271" s="688"/>
      <c r="K271" s="688">
        <f t="shared" si="41"/>
        <v>2044</v>
      </c>
      <c r="L271" s="688"/>
    </row>
    <row r="272" spans="2:12" ht="15.75" thickBot="1" x14ac:dyDescent="0.3">
      <c r="B272" s="765">
        <v>52890</v>
      </c>
      <c r="C272" s="751">
        <f t="shared" si="36"/>
        <v>30</v>
      </c>
      <c r="D272" s="747">
        <f t="shared" si="37"/>
        <v>0</v>
      </c>
      <c r="E272" s="747">
        <f t="shared" si="38"/>
        <v>0</v>
      </c>
      <c r="F272" s="752">
        <f t="shared" si="39"/>
        <v>0</v>
      </c>
      <c r="G272" s="753">
        <f t="shared" si="40"/>
        <v>0</v>
      </c>
      <c r="H272" s="750">
        <f t="shared" si="42"/>
        <v>0</v>
      </c>
      <c r="I272" s="688"/>
      <c r="J272" s="688"/>
      <c r="K272" s="688">
        <f t="shared" si="41"/>
        <v>2044</v>
      </c>
      <c r="L272" s="688"/>
    </row>
    <row r="273" spans="2:12" x14ac:dyDescent="0.25">
      <c r="B273" s="579">
        <v>52921</v>
      </c>
      <c r="C273" s="751">
        <f t="shared" si="36"/>
        <v>31</v>
      </c>
      <c r="D273" s="747">
        <f t="shared" si="37"/>
        <v>0</v>
      </c>
      <c r="E273" s="747">
        <f t="shared" si="38"/>
        <v>0</v>
      </c>
      <c r="F273" s="752">
        <f t="shared" si="39"/>
        <v>0</v>
      </c>
      <c r="G273" s="753">
        <f t="shared" si="40"/>
        <v>0</v>
      </c>
      <c r="H273" s="750">
        <f t="shared" si="42"/>
        <v>0</v>
      </c>
      <c r="I273" s="688"/>
      <c r="J273" s="688"/>
      <c r="K273" s="688">
        <f t="shared" si="41"/>
        <v>2044</v>
      </c>
      <c r="L273" s="688"/>
    </row>
    <row r="274" spans="2:12" ht="15.75" thickBot="1" x14ac:dyDescent="0.3">
      <c r="B274" s="765">
        <v>52951</v>
      </c>
      <c r="C274" s="751">
        <f t="shared" si="36"/>
        <v>30</v>
      </c>
      <c r="D274" s="747">
        <f t="shared" si="37"/>
        <v>0</v>
      </c>
      <c r="E274" s="747">
        <f t="shared" si="38"/>
        <v>0</v>
      </c>
      <c r="F274" s="752">
        <f t="shared" si="39"/>
        <v>0</v>
      </c>
      <c r="G274" s="753">
        <f t="shared" si="40"/>
        <v>0</v>
      </c>
      <c r="H274" s="750">
        <f t="shared" si="42"/>
        <v>0</v>
      </c>
      <c r="I274" s="688"/>
      <c r="J274" s="688"/>
      <c r="K274" s="688">
        <f t="shared" si="41"/>
        <v>2044</v>
      </c>
      <c r="L274" s="688"/>
    </row>
    <row r="275" spans="2:12" x14ac:dyDescent="0.25">
      <c r="B275" s="579">
        <v>52982</v>
      </c>
      <c r="C275" s="751">
        <f t="shared" si="36"/>
        <v>31</v>
      </c>
      <c r="D275" s="747">
        <f t="shared" si="37"/>
        <v>0</v>
      </c>
      <c r="E275" s="747">
        <f t="shared" si="38"/>
        <v>0</v>
      </c>
      <c r="F275" s="752">
        <f t="shared" si="39"/>
        <v>0</v>
      </c>
      <c r="G275" s="753">
        <f t="shared" si="40"/>
        <v>0</v>
      </c>
      <c r="H275" s="750">
        <f t="shared" si="42"/>
        <v>0</v>
      </c>
      <c r="I275" s="688"/>
      <c r="J275" s="688"/>
      <c r="K275" s="688">
        <f t="shared" si="41"/>
        <v>2045</v>
      </c>
      <c r="L275" s="688"/>
    </row>
    <row r="276" spans="2:12" ht="15.75" thickBot="1" x14ac:dyDescent="0.3">
      <c r="B276" s="765">
        <v>53013</v>
      </c>
      <c r="C276" s="751">
        <f t="shared" si="36"/>
        <v>31</v>
      </c>
      <c r="D276" s="747">
        <f t="shared" si="37"/>
        <v>0</v>
      </c>
      <c r="E276" s="747">
        <f t="shared" si="38"/>
        <v>0</v>
      </c>
      <c r="F276" s="752">
        <f t="shared" si="39"/>
        <v>0</v>
      </c>
      <c r="G276" s="753">
        <f t="shared" si="40"/>
        <v>0</v>
      </c>
      <c r="H276" s="750">
        <f t="shared" si="42"/>
        <v>0</v>
      </c>
      <c r="I276" s="688"/>
      <c r="J276" s="688"/>
      <c r="K276" s="688">
        <f t="shared" si="41"/>
        <v>2045</v>
      </c>
      <c r="L276" s="688"/>
    </row>
    <row r="277" spans="2:12" x14ac:dyDescent="0.25">
      <c r="B277" s="579">
        <v>53041</v>
      </c>
      <c r="C277" s="751">
        <f t="shared" si="36"/>
        <v>28</v>
      </c>
      <c r="D277" s="747">
        <f t="shared" si="37"/>
        <v>0</v>
      </c>
      <c r="E277" s="747">
        <f t="shared" si="38"/>
        <v>0</v>
      </c>
      <c r="F277" s="752">
        <f t="shared" si="39"/>
        <v>0</v>
      </c>
      <c r="G277" s="753">
        <f t="shared" si="40"/>
        <v>0</v>
      </c>
      <c r="H277" s="750">
        <f t="shared" si="42"/>
        <v>0</v>
      </c>
      <c r="I277" s="688"/>
      <c r="J277" s="688"/>
      <c r="K277" s="688">
        <f t="shared" si="41"/>
        <v>2045</v>
      </c>
      <c r="L277" s="688"/>
    </row>
    <row r="278" spans="2:12" ht="15.75" thickBot="1" x14ac:dyDescent="0.3">
      <c r="B278" s="765">
        <v>53072</v>
      </c>
      <c r="C278" s="751">
        <f t="shared" si="36"/>
        <v>31</v>
      </c>
      <c r="D278" s="747">
        <f t="shared" si="37"/>
        <v>0</v>
      </c>
      <c r="E278" s="747">
        <f t="shared" si="38"/>
        <v>0</v>
      </c>
      <c r="F278" s="752">
        <f t="shared" si="39"/>
        <v>0</v>
      </c>
      <c r="G278" s="753">
        <f t="shared" si="40"/>
        <v>0</v>
      </c>
      <c r="H278" s="750">
        <f t="shared" si="42"/>
        <v>0</v>
      </c>
      <c r="I278" s="688"/>
      <c r="J278" s="688"/>
      <c r="K278" s="688">
        <f t="shared" si="41"/>
        <v>2045</v>
      </c>
      <c r="L278" s="688"/>
    </row>
    <row r="279" spans="2:12" x14ac:dyDescent="0.25">
      <c r="B279" s="579">
        <v>53102</v>
      </c>
      <c r="C279" s="751">
        <f t="shared" si="36"/>
        <v>30</v>
      </c>
      <c r="D279" s="747">
        <f t="shared" si="37"/>
        <v>0</v>
      </c>
      <c r="E279" s="747">
        <f t="shared" si="38"/>
        <v>0</v>
      </c>
      <c r="F279" s="752">
        <f t="shared" si="39"/>
        <v>0</v>
      </c>
      <c r="G279" s="753">
        <f t="shared" si="40"/>
        <v>0</v>
      </c>
      <c r="H279" s="750">
        <f t="shared" si="42"/>
        <v>0</v>
      </c>
      <c r="I279" s="688"/>
      <c r="J279" s="688"/>
      <c r="K279" s="688">
        <f t="shared" si="41"/>
        <v>2045</v>
      </c>
      <c r="L279" s="688"/>
    </row>
    <row r="280" spans="2:12" ht="15.75" thickBot="1" x14ac:dyDescent="0.3">
      <c r="B280" s="765">
        <v>53133</v>
      </c>
      <c r="C280" s="751">
        <f t="shared" si="36"/>
        <v>31</v>
      </c>
      <c r="D280" s="747">
        <f t="shared" si="37"/>
        <v>0</v>
      </c>
      <c r="E280" s="747">
        <f t="shared" si="38"/>
        <v>0</v>
      </c>
      <c r="F280" s="752">
        <f t="shared" si="39"/>
        <v>0</v>
      </c>
      <c r="G280" s="753">
        <f t="shared" si="40"/>
        <v>0</v>
      </c>
      <c r="H280" s="750">
        <f t="shared" si="42"/>
        <v>0</v>
      </c>
      <c r="I280" s="688"/>
      <c r="J280" s="688"/>
      <c r="K280" s="688">
        <f t="shared" si="41"/>
        <v>2045</v>
      </c>
      <c r="L280" s="688"/>
    </row>
    <row r="281" spans="2:12" x14ac:dyDescent="0.25">
      <c r="B281" s="579">
        <v>53163</v>
      </c>
      <c r="C281" s="751">
        <f t="shared" si="36"/>
        <v>30</v>
      </c>
      <c r="D281" s="747">
        <f t="shared" si="37"/>
        <v>0</v>
      </c>
      <c r="E281" s="747">
        <f t="shared" si="38"/>
        <v>0</v>
      </c>
      <c r="F281" s="752">
        <f t="shared" si="39"/>
        <v>0</v>
      </c>
      <c r="G281" s="753">
        <f t="shared" si="40"/>
        <v>0</v>
      </c>
      <c r="H281" s="750">
        <f t="shared" si="42"/>
        <v>0</v>
      </c>
      <c r="I281" s="688"/>
      <c r="J281" s="688"/>
      <c r="K281" s="688">
        <f t="shared" si="41"/>
        <v>2045</v>
      </c>
      <c r="L281" s="688"/>
    </row>
    <row r="282" spans="2:12" x14ac:dyDescent="0.25">
      <c r="B282" s="605"/>
      <c r="C282" s="70"/>
      <c r="D282" s="71"/>
      <c r="E282" s="71"/>
      <c r="F282" s="77"/>
      <c r="G282" s="71"/>
      <c r="H282" s="78"/>
      <c r="I282" s="79"/>
      <c r="L282" s="54">
        <f>L270+1</f>
        <v>2045</v>
      </c>
    </row>
    <row r="283" spans="2:12" x14ac:dyDescent="0.25">
      <c r="B283" s="69"/>
      <c r="C283" s="70"/>
      <c r="D283" s="71">
        <f>SUM(D49:D282)</f>
        <v>0</v>
      </c>
      <c r="E283" s="71">
        <f t="shared" ref="E283:G283" si="43">SUM(E49:E282)</f>
        <v>0</v>
      </c>
      <c r="F283" s="71"/>
      <c r="G283" s="71">
        <f t="shared" si="43"/>
        <v>0</v>
      </c>
      <c r="H283" s="71"/>
      <c r="I283" s="79"/>
    </row>
    <row r="284" spans="2:12" x14ac:dyDescent="0.25">
      <c r="B284" s="69"/>
      <c r="C284" s="70"/>
      <c r="D284" s="71"/>
      <c r="E284" s="71"/>
      <c r="F284" s="77"/>
      <c r="G284" s="71"/>
      <c r="H284" s="78"/>
      <c r="I284" s="79"/>
    </row>
    <row r="285" spans="2:12" x14ac:dyDescent="0.25">
      <c r="B285" s="69"/>
      <c r="C285" s="70"/>
      <c r="D285" s="71"/>
      <c r="E285" s="71"/>
      <c r="F285" s="77"/>
      <c r="G285" s="71"/>
      <c r="H285" s="78"/>
      <c r="I285" s="79"/>
    </row>
    <row r="286" spans="2:12" x14ac:dyDescent="0.25">
      <c r="B286" s="69"/>
      <c r="C286" s="70"/>
      <c r="D286" s="71"/>
      <c r="E286" s="71"/>
      <c r="F286" s="77"/>
      <c r="G286" s="71"/>
      <c r="H286" s="78"/>
      <c r="I286" s="79"/>
    </row>
    <row r="287" spans="2:12" x14ac:dyDescent="0.25">
      <c r="B287" s="69"/>
      <c r="C287" s="70"/>
      <c r="D287" s="71"/>
      <c r="E287" s="71"/>
      <c r="F287" s="77"/>
      <c r="G287" s="71"/>
      <c r="H287" s="78"/>
      <c r="I287" s="79"/>
    </row>
    <row r="288" spans="2:12" x14ac:dyDescent="0.25">
      <c r="B288" s="69"/>
      <c r="C288" s="70"/>
      <c r="D288" s="71"/>
      <c r="E288" s="71"/>
      <c r="F288" s="77"/>
      <c r="G288" s="71"/>
      <c r="H288" s="78"/>
      <c r="I288" s="79"/>
    </row>
    <row r="289" spans="2:9" x14ac:dyDescent="0.25">
      <c r="B289" s="69"/>
      <c r="C289" s="70"/>
      <c r="D289" s="71"/>
      <c r="E289" s="71"/>
      <c r="F289" s="77"/>
      <c r="G289" s="71"/>
      <c r="H289" s="78"/>
      <c r="I289" s="79"/>
    </row>
    <row r="290" spans="2:9" x14ac:dyDescent="0.25">
      <c r="B290" s="69"/>
      <c r="C290" s="70"/>
      <c r="D290" s="71"/>
      <c r="E290" s="71"/>
      <c r="F290" s="77"/>
      <c r="G290" s="71"/>
      <c r="H290" s="78"/>
      <c r="I290" s="79"/>
    </row>
    <row r="291" spans="2:9" x14ac:dyDescent="0.25">
      <c r="B291" s="69"/>
      <c r="C291" s="70"/>
      <c r="D291" s="71"/>
      <c r="E291" s="71"/>
      <c r="F291" s="77"/>
      <c r="G291" s="71"/>
      <c r="H291" s="78"/>
      <c r="I291" s="79"/>
    </row>
    <row r="292" spans="2:9" x14ac:dyDescent="0.25">
      <c r="B292" s="69"/>
      <c r="C292" s="70"/>
      <c r="D292" s="71"/>
      <c r="E292" s="71"/>
      <c r="F292" s="82"/>
      <c r="G292" s="71"/>
      <c r="H292" s="78"/>
      <c r="I292" s="79"/>
    </row>
    <row r="293" spans="2:9" x14ac:dyDescent="0.25">
      <c r="B293" s="69"/>
      <c r="C293" s="70"/>
      <c r="D293" s="71"/>
      <c r="E293" s="71"/>
      <c r="F293" s="77"/>
      <c r="G293" s="71"/>
      <c r="H293" s="78"/>
      <c r="I293" s="79"/>
    </row>
    <row r="294" spans="2:9" x14ac:dyDescent="0.25">
      <c r="B294" s="69"/>
      <c r="C294" s="70"/>
      <c r="D294" s="71"/>
      <c r="E294" s="71"/>
      <c r="F294" s="77"/>
      <c r="G294" s="71"/>
      <c r="H294" s="78"/>
      <c r="I294" s="79"/>
    </row>
    <row r="295" spans="2:9" x14ac:dyDescent="0.25">
      <c r="B295" s="69"/>
      <c r="C295" s="70"/>
      <c r="D295" s="71"/>
      <c r="E295" s="71"/>
      <c r="F295" s="77"/>
      <c r="G295" s="71"/>
      <c r="H295" s="78"/>
      <c r="I295" s="79"/>
    </row>
    <row r="296" spans="2:9" x14ac:dyDescent="0.25">
      <c r="B296" s="69"/>
      <c r="C296" s="70"/>
      <c r="D296" s="71"/>
      <c r="E296" s="71"/>
      <c r="F296" s="77"/>
      <c r="G296" s="71"/>
      <c r="H296" s="78"/>
      <c r="I296" s="79"/>
    </row>
    <row r="297" spans="2:9" x14ac:dyDescent="0.25">
      <c r="B297" s="69"/>
      <c r="C297" s="70"/>
      <c r="D297" s="71"/>
      <c r="E297" s="71"/>
      <c r="F297" s="77"/>
      <c r="G297" s="71"/>
      <c r="H297" s="78"/>
      <c r="I297" s="79"/>
    </row>
    <row r="298" spans="2:9" x14ac:dyDescent="0.25">
      <c r="B298" s="69"/>
      <c r="C298" s="70"/>
      <c r="D298" s="71"/>
      <c r="E298" s="71"/>
      <c r="F298" s="77"/>
      <c r="G298" s="71"/>
      <c r="H298" s="78"/>
      <c r="I298" s="79"/>
    </row>
    <row r="299" spans="2:9" x14ac:dyDescent="0.25">
      <c r="B299" s="69"/>
      <c r="C299" s="70"/>
      <c r="D299" s="71"/>
      <c r="E299" s="71"/>
      <c r="F299" s="77"/>
      <c r="G299" s="71"/>
      <c r="H299" s="78"/>
      <c r="I299" s="79"/>
    </row>
    <row r="300" spans="2:9" x14ac:dyDescent="0.25">
      <c r="B300" s="69"/>
      <c r="C300" s="70"/>
      <c r="D300" s="71"/>
      <c r="E300" s="71"/>
      <c r="F300" s="77"/>
      <c r="G300" s="71"/>
      <c r="H300" s="78"/>
      <c r="I300" s="79"/>
    </row>
    <row r="301" spans="2:9" x14ac:dyDescent="0.25">
      <c r="B301" s="69"/>
      <c r="C301" s="70"/>
      <c r="D301" s="71"/>
      <c r="E301" s="71"/>
      <c r="F301" s="77"/>
      <c r="G301" s="71"/>
      <c r="H301" s="78"/>
      <c r="I301" s="79"/>
    </row>
    <row r="302" spans="2:9" x14ac:dyDescent="0.25">
      <c r="B302" s="69"/>
      <c r="C302" s="70"/>
      <c r="D302" s="71"/>
      <c r="E302" s="71"/>
      <c r="F302" s="77"/>
      <c r="G302" s="71"/>
      <c r="H302" s="78"/>
      <c r="I302" s="79"/>
    </row>
    <row r="303" spans="2:9" x14ac:dyDescent="0.25">
      <c r="B303" s="69"/>
      <c r="C303" s="70"/>
      <c r="D303" s="71"/>
      <c r="E303" s="71"/>
      <c r="F303" s="77"/>
      <c r="G303" s="71"/>
      <c r="H303" s="78"/>
      <c r="I303" s="79"/>
    </row>
    <row r="304" spans="2:9" x14ac:dyDescent="0.25">
      <c r="B304" s="69"/>
      <c r="C304" s="70"/>
      <c r="D304" s="71"/>
      <c r="E304" s="71"/>
      <c r="F304" s="77"/>
      <c r="G304" s="71"/>
      <c r="H304" s="78"/>
      <c r="I304" s="79"/>
    </row>
    <row r="305" spans="2:9" x14ac:dyDescent="0.25">
      <c r="B305" s="69"/>
      <c r="C305" s="70"/>
      <c r="D305" s="71"/>
      <c r="E305" s="71"/>
      <c r="F305" s="77"/>
      <c r="G305" s="71"/>
      <c r="H305" s="78"/>
      <c r="I305" s="79"/>
    </row>
    <row r="306" spans="2:9" x14ac:dyDescent="0.25">
      <c r="B306" s="69"/>
      <c r="C306" s="70"/>
      <c r="D306" s="71"/>
      <c r="E306" s="71"/>
      <c r="F306" s="77"/>
      <c r="G306" s="71"/>
      <c r="H306" s="78"/>
      <c r="I306" s="79"/>
    </row>
    <row r="307" spans="2:9" x14ac:dyDescent="0.25">
      <c r="B307" s="69"/>
      <c r="C307" s="70"/>
      <c r="D307" s="71"/>
      <c r="E307" s="71"/>
      <c r="F307" s="77"/>
      <c r="G307" s="71"/>
      <c r="H307" s="78"/>
      <c r="I307" s="79"/>
    </row>
    <row r="308" spans="2:9" x14ac:dyDescent="0.25">
      <c r="B308" s="69"/>
      <c r="C308" s="70"/>
      <c r="D308" s="71"/>
      <c r="E308" s="71"/>
      <c r="F308" s="77"/>
      <c r="G308" s="71"/>
      <c r="H308" s="78"/>
      <c r="I308" s="79"/>
    </row>
    <row r="309" spans="2:9" x14ac:dyDescent="0.25">
      <c r="B309" s="69"/>
      <c r="C309" s="70"/>
      <c r="D309" s="71"/>
      <c r="E309" s="71"/>
      <c r="F309" s="77"/>
      <c r="G309" s="71"/>
      <c r="H309" s="78"/>
      <c r="I309" s="79"/>
    </row>
    <row r="310" spans="2:9" x14ac:dyDescent="0.25">
      <c r="B310" s="69"/>
      <c r="C310" s="70"/>
      <c r="D310" s="71"/>
      <c r="E310" s="71"/>
      <c r="F310" s="77"/>
      <c r="G310" s="71"/>
      <c r="H310" s="78"/>
      <c r="I310" s="79"/>
    </row>
    <row r="311" spans="2:9" x14ac:dyDescent="0.25">
      <c r="B311" s="69"/>
      <c r="C311" s="70"/>
      <c r="D311" s="71"/>
      <c r="E311" s="71"/>
      <c r="F311" s="77"/>
      <c r="G311" s="71"/>
      <c r="H311" s="78"/>
      <c r="I311" s="79"/>
    </row>
    <row r="312" spans="2:9" x14ac:dyDescent="0.25">
      <c r="F312" s="77"/>
      <c r="G312" s="71"/>
      <c r="H312" s="78"/>
      <c r="I312" s="79"/>
    </row>
    <row r="313" spans="2:9" x14ac:dyDescent="0.25">
      <c r="B313" s="69"/>
      <c r="C313" s="70"/>
      <c r="D313" s="71"/>
      <c r="E313" s="71"/>
      <c r="F313" s="77"/>
      <c r="G313" s="71"/>
      <c r="H313" s="78"/>
      <c r="I313" s="79"/>
    </row>
    <row r="314" spans="2:9" x14ac:dyDescent="0.25">
      <c r="B314" s="69"/>
      <c r="C314" s="70"/>
      <c r="D314" s="71"/>
      <c r="E314" s="71"/>
      <c r="F314" s="77"/>
      <c r="G314" s="71"/>
      <c r="H314" s="78"/>
      <c r="I314" s="79"/>
    </row>
    <row r="315" spans="2:9" x14ac:dyDescent="0.25">
      <c r="B315" s="69"/>
      <c r="C315" s="70"/>
      <c r="D315" s="71"/>
      <c r="E315" s="71"/>
      <c r="F315" s="77"/>
      <c r="G315" s="71"/>
      <c r="H315" s="78"/>
      <c r="I315" s="79"/>
    </row>
    <row r="316" spans="2:9" x14ac:dyDescent="0.25">
      <c r="B316" s="69"/>
      <c r="C316" s="70"/>
      <c r="D316" s="71"/>
      <c r="E316" s="71"/>
      <c r="F316" s="77"/>
      <c r="G316" s="71"/>
      <c r="H316" s="78"/>
      <c r="I316" s="79"/>
    </row>
    <row r="317" spans="2:9" x14ac:dyDescent="0.25">
      <c r="B317" s="69"/>
      <c r="C317" s="69"/>
      <c r="D317" s="80"/>
      <c r="E317" s="80"/>
      <c r="F317" s="77"/>
      <c r="G317" s="80"/>
      <c r="H317" s="139"/>
      <c r="I317" s="79"/>
    </row>
    <row r="318" spans="2:9" x14ac:dyDescent="0.25">
      <c r="B318" s="69"/>
      <c r="C318" s="69"/>
      <c r="D318" s="81"/>
      <c r="E318" s="81"/>
      <c r="F318" s="81"/>
      <c r="G318" s="79"/>
      <c r="H318" s="79"/>
      <c r="I318" s="79"/>
    </row>
    <row r="319" spans="2:9" x14ac:dyDescent="0.25">
      <c r="B319" s="69"/>
      <c r="C319" s="69"/>
      <c r="D319" s="81"/>
      <c r="E319" s="81"/>
      <c r="F319" s="81"/>
      <c r="G319" s="79"/>
      <c r="H319" s="79"/>
      <c r="I319" s="79"/>
    </row>
    <row r="320" spans="2:9" x14ac:dyDescent="0.25">
      <c r="B320" s="69"/>
      <c r="C320" s="69"/>
      <c r="D320" s="81"/>
      <c r="E320" s="81"/>
      <c r="F320" s="81"/>
      <c r="G320" s="79"/>
      <c r="H320" s="79"/>
      <c r="I320" s="79"/>
    </row>
    <row r="321" spans="2:9" x14ac:dyDescent="0.25">
      <c r="B321" s="69"/>
      <c r="C321" s="69"/>
      <c r="D321" s="81"/>
      <c r="E321" s="81"/>
      <c r="F321" s="81"/>
      <c r="G321" s="79"/>
      <c r="H321" s="79"/>
      <c r="I321" s="79"/>
    </row>
  </sheetData>
  <sheetProtection sheet="1" objects="1" scenarios="1"/>
  <mergeCells count="1">
    <mergeCell ref="B3:E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8</vt:i4>
      </vt:variant>
    </vt:vector>
  </HeadingPairs>
  <TitlesOfParts>
    <vt:vector size="18" baseType="lpstr">
      <vt:lpstr>załącznik nr 1 dla KPiR</vt:lpstr>
      <vt:lpstr>KPIR</vt:lpstr>
      <vt:lpstr>bilans</vt:lpstr>
      <vt:lpstr>Parametry nakładów i pożyczki</vt:lpstr>
      <vt:lpstr>plan sprzedaży i zakupów </vt:lpstr>
      <vt:lpstr>plan kosztów eksploatacyjnych</vt:lpstr>
      <vt:lpstr>przepływy</vt:lpstr>
      <vt:lpstr>wskaźniki</vt:lpstr>
      <vt:lpstr>POŻYCZKA I</vt:lpstr>
      <vt:lpstr>POŻYCZKA II</vt:lpstr>
      <vt:lpstr>'plan sprzedaży i zakupów '!_Hlk493790107</vt:lpstr>
      <vt:lpstr>bilans!Obszar_wydruku</vt:lpstr>
      <vt:lpstr>KPIR!Obszar_wydruku</vt:lpstr>
      <vt:lpstr>'Parametry nakładów i pożyczki'!Obszar_wydruku</vt:lpstr>
      <vt:lpstr>'plan kosztów eksploatacyjnych'!Obszar_wydruku</vt:lpstr>
      <vt:lpstr>'plan sprzedaży i zakupów '!Obszar_wydruku</vt:lpstr>
      <vt:lpstr>przepływy!Obszar_wydruku</vt:lpstr>
      <vt:lpstr>'załącznik nr 1 dla KPiR'!Obszar_wydruku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Nowak</dc:creator>
  <cp:lastModifiedBy>krzysztof Nowak</cp:lastModifiedBy>
  <cp:lastPrinted>2021-12-09T10:40:59Z</cp:lastPrinted>
  <dcterms:created xsi:type="dcterms:W3CDTF">2016-12-07T07:27:57Z</dcterms:created>
  <dcterms:modified xsi:type="dcterms:W3CDTF">2025-07-30T09:54:36Z</dcterms:modified>
</cp:coreProperties>
</file>